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13_ncr:1_{9C02B8C6-52D9-4171-8DF0-3C89201AC1F9}" xr6:coauthVersionLast="47" xr6:coauthVersionMax="47" xr10:uidLastSave="{00000000-0000-0000-0000-000000000000}"/>
  <bookViews>
    <workbookView xWindow="-108" yWindow="-108" windowWidth="23256" windowHeight="12456" tabRatio="876" firstSheet="11" activeTab="18" xr2:uid="{166E4CEA-FB7B-4060-8438-4C7AC4710F0E}"/>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 name="Sheet17" sheetId="17" r:id="rId17"/>
    <sheet name="Sheet18" sheetId="18" r:id="rId18"/>
    <sheet name="Sheet19" sheetId="19" r:id="rId19"/>
    <sheet name="Sheet201" sheetId="28" r:id="rId20"/>
    <sheet name="Sheet21" sheetId="21" r:id="rId21"/>
    <sheet name="Sheet22" sheetId="22" r:id="rId22"/>
    <sheet name="Sheet23" sheetId="23" r:id="rId23"/>
    <sheet name="Sheet24" sheetId="24" r:id="rId24"/>
    <sheet name="Sheet25" sheetId="25" r:id="rId25"/>
    <sheet name="Sheet26" sheetId="26" r:id="rId26"/>
    <sheet name="Sheet27" sheetId="27" r:id="rId27"/>
    <sheet name="Sheet20" sheetId="20"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8" i="19" l="1"/>
  <c r="C48" i="19"/>
  <c r="E48" i="19" s="1"/>
  <c r="F42" i="19"/>
  <c r="D52" i="19" s="1"/>
  <c r="E42" i="19"/>
  <c r="D42" i="19"/>
  <c r="D41" i="19"/>
  <c r="F41" i="19" s="1"/>
  <c r="D51" i="19" s="1"/>
  <c r="F40" i="19"/>
  <c r="D50" i="19" s="1"/>
  <c r="D40" i="19"/>
  <c r="D39" i="19"/>
  <c r="F39" i="19" s="1"/>
  <c r="D49" i="19" s="1"/>
  <c r="F38" i="19"/>
  <c r="D38" i="19"/>
  <c r="C37" i="19"/>
  <c r="F37" i="19" s="1"/>
  <c r="D47" i="19" s="1"/>
  <c r="E32" i="19"/>
  <c r="D32" i="19"/>
  <c r="F32" i="19" s="1"/>
  <c r="C52" i="19" s="1"/>
  <c r="F31" i="19"/>
  <c r="C51" i="19" s="1"/>
  <c r="E51" i="19" s="1"/>
  <c r="D31" i="19"/>
  <c r="D30" i="19"/>
  <c r="F30" i="19" s="1"/>
  <c r="C50" i="19" s="1"/>
  <c r="F29" i="19"/>
  <c r="C49" i="19" s="1"/>
  <c r="E49" i="19" s="1"/>
  <c r="F28" i="19"/>
  <c r="F27" i="19"/>
  <c r="C47" i="19" s="1"/>
  <c r="E47" i="19" s="1"/>
  <c r="C27" i="19"/>
  <c r="H20" i="19"/>
  <c r="H19" i="19"/>
  <c r="B9" i="19"/>
  <c r="B8" i="19"/>
  <c r="B7" i="19"/>
  <c r="B6" i="19"/>
  <c r="B5" i="19"/>
  <c r="D2" i="19"/>
  <c r="D1" i="19"/>
  <c r="C48" i="27"/>
  <c r="E48" i="27" s="1"/>
  <c r="F42" i="27"/>
  <c r="D52" i="27" s="1"/>
  <c r="E42" i="27"/>
  <c r="D42" i="27"/>
  <c r="D41" i="27"/>
  <c r="F41" i="27" s="1"/>
  <c r="D51" i="27" s="1"/>
  <c r="D40" i="27"/>
  <c r="F40" i="27" s="1"/>
  <c r="D50" i="27" s="1"/>
  <c r="D39" i="27"/>
  <c r="F39" i="27" s="1"/>
  <c r="D49" i="27" s="1"/>
  <c r="D38" i="27"/>
  <c r="F38" i="27" s="1"/>
  <c r="D48" i="27" s="1"/>
  <c r="C37" i="27"/>
  <c r="F37" i="27" s="1"/>
  <c r="D47" i="27" s="1"/>
  <c r="E32" i="27"/>
  <c r="D32" i="27"/>
  <c r="F32" i="27" s="1"/>
  <c r="C52" i="27" s="1"/>
  <c r="E52" i="27" s="1"/>
  <c r="F31" i="27"/>
  <c r="C51" i="27" s="1"/>
  <c r="D31" i="27"/>
  <c r="D30" i="27"/>
  <c r="F30" i="27" s="1"/>
  <c r="C50" i="27" s="1"/>
  <c r="E50" i="27" s="1"/>
  <c r="F29" i="27"/>
  <c r="C49" i="27" s="1"/>
  <c r="E49" i="27" s="1"/>
  <c r="F28" i="27"/>
  <c r="F27" i="27"/>
  <c r="C47" i="27" s="1"/>
  <c r="E47" i="27" s="1"/>
  <c r="C27" i="27"/>
  <c r="H20" i="27"/>
  <c r="H19" i="27"/>
  <c r="B9" i="27"/>
  <c r="B8" i="27"/>
  <c r="B7" i="27"/>
  <c r="B6" i="27"/>
  <c r="B5" i="27"/>
  <c r="D2" i="27"/>
  <c r="D1" i="27"/>
  <c r="F51" i="26"/>
  <c r="F50" i="26"/>
  <c r="F49" i="26"/>
  <c r="F48" i="26"/>
  <c r="F47" i="26"/>
  <c r="F46" i="26"/>
  <c r="F45" i="26"/>
  <c r="F44" i="26"/>
  <c r="F43" i="26"/>
  <c r="F42" i="26"/>
  <c r="F41" i="26"/>
  <c r="F40" i="26"/>
  <c r="F39" i="26"/>
  <c r="F38" i="26"/>
  <c r="I37" i="26"/>
  <c r="F37" i="26"/>
  <c r="C36" i="26"/>
  <c r="F36" i="26" s="1"/>
  <c r="I36" i="26" s="1"/>
  <c r="I35" i="26"/>
  <c r="I39" i="26" s="1"/>
  <c r="F29" i="26"/>
  <c r="F28" i="26"/>
  <c r="F27" i="26"/>
  <c r="F26" i="26"/>
  <c r="F25" i="26"/>
  <c r="F24" i="26"/>
  <c r="F23" i="26"/>
  <c r="I22" i="26"/>
  <c r="F22" i="26"/>
  <c r="C21" i="26"/>
  <c r="F21" i="26" s="1"/>
  <c r="I21" i="26" s="1"/>
  <c r="I20" i="26"/>
  <c r="B9" i="26"/>
  <c r="B8" i="26"/>
  <c r="B7" i="26"/>
  <c r="B6" i="26"/>
  <c r="B5" i="26"/>
  <c r="B4" i="26"/>
  <c r="D2" i="26"/>
  <c r="D1" i="26"/>
  <c r="E60" i="25"/>
  <c r="E59" i="25"/>
  <c r="E58" i="25"/>
  <c r="E57" i="25"/>
  <c r="E56" i="25"/>
  <c r="E55" i="25"/>
  <c r="E54" i="25"/>
  <c r="E53" i="25"/>
  <c r="E52" i="25"/>
  <c r="E51" i="25"/>
  <c r="E50" i="25"/>
  <c r="E49" i="25"/>
  <c r="E48" i="25"/>
  <c r="E47" i="25"/>
  <c r="E46" i="25"/>
  <c r="E45" i="25"/>
  <c r="E62" i="25" s="1"/>
  <c r="E37" i="25"/>
  <c r="E36" i="25"/>
  <c r="E35" i="25"/>
  <c r="E34" i="25"/>
  <c r="E33" i="25"/>
  <c r="E32" i="25"/>
  <c r="E31" i="25"/>
  <c r="E30" i="25"/>
  <c r="E29" i="25"/>
  <c r="E28" i="25"/>
  <c r="E27" i="25"/>
  <c r="E26" i="25"/>
  <c r="E25" i="25"/>
  <c r="E24" i="25"/>
  <c r="E23" i="25"/>
  <c r="E22" i="25"/>
  <c r="E39" i="25" s="1"/>
  <c r="H21" i="25"/>
  <c r="B10" i="25"/>
  <c r="B9" i="25"/>
  <c r="B8" i="25"/>
  <c r="B7" i="25"/>
  <c r="B6" i="25"/>
  <c r="B5" i="25"/>
  <c r="D2" i="25"/>
  <c r="D1" i="25"/>
  <c r="H32" i="24"/>
  <c r="D32" i="24"/>
  <c r="H28" i="24"/>
  <c r="D28" i="24"/>
  <c r="H26" i="24"/>
  <c r="D26" i="24"/>
  <c r="H24" i="24"/>
  <c r="D24" i="24"/>
  <c r="F20" i="24"/>
  <c r="F19" i="24"/>
  <c r="H33" i="24" s="1"/>
  <c r="B10" i="24"/>
  <c r="B9" i="24"/>
  <c r="B8" i="24"/>
  <c r="B7" i="24"/>
  <c r="B6" i="24"/>
  <c r="B5" i="24"/>
  <c r="D2" i="24"/>
  <c r="D1" i="24"/>
  <c r="D23" i="23"/>
  <c r="D22" i="23"/>
  <c r="D21" i="23"/>
  <c r="L10" i="23" s="1"/>
  <c r="H19" i="23"/>
  <c r="D19" i="23"/>
  <c r="B8" i="23"/>
  <c r="L7" i="23"/>
  <c r="B7" i="23"/>
  <c r="B6" i="23"/>
  <c r="B5" i="23"/>
  <c r="D2" i="23"/>
  <c r="D1" i="23"/>
  <c r="L14" i="22"/>
  <c r="L12" i="22"/>
  <c r="L10" i="22"/>
  <c r="B9" i="22"/>
  <c r="E31" i="21"/>
  <c r="E28" i="21"/>
  <c r="F28" i="21" s="1"/>
  <c r="D28" i="21"/>
  <c r="C28" i="21"/>
  <c r="E27" i="21"/>
  <c r="F27" i="21" s="1"/>
  <c r="D27" i="21"/>
  <c r="C27" i="21"/>
  <c r="E26" i="21"/>
  <c r="F26" i="21" s="1"/>
  <c r="D26" i="21"/>
  <c r="C26" i="21"/>
  <c r="E25" i="21"/>
  <c r="F25" i="21" s="1"/>
  <c r="D25" i="21"/>
  <c r="C25" i="21"/>
  <c r="E24" i="21"/>
  <c r="F24" i="21" s="1"/>
  <c r="D24" i="21"/>
  <c r="C24" i="21"/>
  <c r="E23" i="21"/>
  <c r="F23" i="21" s="1"/>
  <c r="D23" i="21"/>
  <c r="C23" i="21"/>
  <c r="E22" i="21"/>
  <c r="F22" i="21" s="1"/>
  <c r="D22" i="21"/>
  <c r="C22" i="21"/>
  <c r="E21" i="21"/>
  <c r="F21" i="21" s="1"/>
  <c r="D21" i="21"/>
  <c r="C21" i="21"/>
  <c r="E20" i="21"/>
  <c r="F20" i="21" s="1"/>
  <c r="D20" i="21"/>
  <c r="C20" i="21"/>
  <c r="B10" i="21"/>
  <c r="B9" i="21"/>
  <c r="B8" i="21"/>
  <c r="B7" i="21"/>
  <c r="B6" i="21"/>
  <c r="B5" i="21"/>
  <c r="D2" i="21"/>
  <c r="D1" i="21"/>
  <c r="G25" i="28"/>
  <c r="G24" i="28"/>
  <c r="G19" i="28"/>
  <c r="G21" i="28" s="1"/>
  <c r="G26" i="28" s="1"/>
  <c r="B9" i="28"/>
  <c r="B8" i="28"/>
  <c r="B7" i="28"/>
  <c r="B6" i="28"/>
  <c r="B5" i="28"/>
  <c r="D2" i="28"/>
  <c r="D1" i="28"/>
  <c r="C42" i="18"/>
  <c r="C41" i="18"/>
  <c r="C40" i="18"/>
  <c r="C39" i="18"/>
  <c r="C38" i="18"/>
  <c r="C37" i="18"/>
  <c r="C36" i="18"/>
  <c r="C35" i="18"/>
  <c r="C34" i="18"/>
  <c r="C33" i="18"/>
  <c r="C32" i="18"/>
  <c r="C31" i="18"/>
  <c r="G30" i="18"/>
  <c r="C30" i="18"/>
  <c r="C29" i="18"/>
  <c r="C28" i="18"/>
  <c r="C27" i="18"/>
  <c r="C26" i="18"/>
  <c r="C25" i="18"/>
  <c r="C24" i="18"/>
  <c r="C23" i="18"/>
  <c r="C22" i="18"/>
  <c r="C21" i="18"/>
  <c r="C20" i="18"/>
  <c r="C19" i="18"/>
  <c r="G18" i="18"/>
  <c r="G21" i="18" s="1"/>
  <c r="C18" i="18"/>
  <c r="G16" i="18"/>
  <c r="G31" i="18" s="1"/>
  <c r="B9" i="18"/>
  <c r="B8" i="18"/>
  <c r="B7" i="18"/>
  <c r="B6" i="18"/>
  <c r="B5" i="18"/>
  <c r="B4" i="18"/>
  <c r="D2" i="18"/>
  <c r="D1" i="18"/>
  <c r="E30" i="17"/>
  <c r="D30" i="17"/>
  <c r="E29" i="17"/>
  <c r="D29" i="17"/>
  <c r="E28" i="17"/>
  <c r="D28" i="17"/>
  <c r="E27" i="17"/>
  <c r="D27" i="17"/>
  <c r="D26" i="17"/>
  <c r="D25" i="17"/>
  <c r="D24" i="17"/>
  <c r="D23" i="17"/>
  <c r="D22" i="17"/>
  <c r="D21" i="17"/>
  <c r="E21" i="17" s="1"/>
  <c r="E22" i="17" s="1"/>
  <c r="E23" i="17" s="1"/>
  <c r="E24" i="17" s="1"/>
  <c r="E25" i="17" s="1"/>
  <c r="E26" i="17" s="1"/>
  <c r="E20" i="17"/>
  <c r="B9" i="17"/>
  <c r="B8" i="17"/>
  <c r="B7" i="17"/>
  <c r="B6" i="17"/>
  <c r="B5" i="17"/>
  <c r="D2" i="17"/>
  <c r="D1" i="17"/>
  <c r="L9" i="16"/>
  <c r="B9" i="16"/>
  <c r="B8" i="16"/>
  <c r="B7" i="16"/>
  <c r="B6" i="16"/>
  <c r="E49" i="15"/>
  <c r="E48" i="15"/>
  <c r="E47" i="15"/>
  <c r="E46" i="15"/>
  <c r="E45" i="15"/>
  <c r="F52" i="15" s="1"/>
  <c r="E37" i="15"/>
  <c r="E36" i="15"/>
  <c r="E35" i="15"/>
  <c r="E34" i="15"/>
  <c r="E33" i="15"/>
  <c r="F40" i="15" s="1"/>
  <c r="E25" i="15"/>
  <c r="E24" i="15"/>
  <c r="E23" i="15"/>
  <c r="E22" i="15"/>
  <c r="E21" i="15"/>
  <c r="F28" i="15" s="1"/>
  <c r="B10" i="15"/>
  <c r="B9" i="15"/>
  <c r="B8" i="15"/>
  <c r="B7" i="15"/>
  <c r="B6" i="15"/>
  <c r="B5" i="15"/>
  <c r="B4" i="15"/>
  <c r="D2" i="15"/>
  <c r="D1" i="15"/>
  <c r="E35" i="14"/>
  <c r="E34" i="14"/>
  <c r="E33" i="14"/>
  <c r="E32" i="14"/>
  <c r="E31" i="14"/>
  <c r="E30" i="14"/>
  <c r="E29" i="14"/>
  <c r="E28" i="14"/>
  <c r="E27" i="14"/>
  <c r="E26" i="14"/>
  <c r="E25" i="14"/>
  <c r="E24" i="14"/>
  <c r="E23" i="14"/>
  <c r="E22" i="14"/>
  <c r="E21" i="14"/>
  <c r="E20" i="14"/>
  <c r="F38" i="14" s="1"/>
  <c r="B10" i="14"/>
  <c r="B9" i="14"/>
  <c r="B8" i="14"/>
  <c r="B7" i="14"/>
  <c r="B6" i="14"/>
  <c r="B5" i="14"/>
  <c r="D2" i="14"/>
  <c r="D1" i="14"/>
  <c r="F18" i="13"/>
  <c r="B9" i="13"/>
  <c r="B8" i="13"/>
  <c r="B7" i="13"/>
  <c r="B6" i="13"/>
  <c r="B5" i="13"/>
  <c r="D2" i="13"/>
  <c r="D1" i="13"/>
  <c r="D21" i="12"/>
  <c r="D19" i="12"/>
  <c r="H19" i="12" s="1"/>
  <c r="B10" i="12"/>
  <c r="B9" i="12"/>
  <c r="B8" i="12"/>
  <c r="B7" i="12"/>
  <c r="B6" i="12"/>
  <c r="B5" i="12"/>
  <c r="D2" i="12"/>
  <c r="D1" i="12"/>
  <c r="F34" i="11"/>
  <c r="E33" i="11"/>
  <c r="F33" i="11" s="1"/>
  <c r="D33" i="11"/>
  <c r="D32" i="11"/>
  <c r="D31" i="11"/>
  <c r="B31" i="11"/>
  <c r="D30" i="11"/>
  <c r="F30" i="11" s="1"/>
  <c r="E23" i="11"/>
  <c r="E32" i="11" s="1"/>
  <c r="D23" i="11"/>
  <c r="C23" i="11"/>
  <c r="D22" i="11"/>
  <c r="E22" i="11" s="1"/>
  <c r="E31" i="11" s="1"/>
  <c r="C22" i="11"/>
  <c r="B22" i="11"/>
  <c r="D21" i="11"/>
  <c r="E21" i="11" s="1"/>
  <c r="E30" i="11" s="1"/>
  <c r="C21" i="11"/>
  <c r="B10" i="11"/>
  <c r="B9" i="11"/>
  <c r="B8" i="11"/>
  <c r="B7" i="11"/>
  <c r="B6" i="11"/>
  <c r="B5" i="11"/>
  <c r="D2" i="11"/>
  <c r="D1" i="11"/>
  <c r="L18" i="10"/>
  <c r="L17" i="10"/>
  <c r="L15" i="10"/>
  <c r="L14" i="10"/>
  <c r="C13" i="10"/>
  <c r="L10" i="10"/>
  <c r="B9" i="10"/>
  <c r="B8" i="10"/>
  <c r="B7" i="10"/>
  <c r="B6" i="10"/>
  <c r="D23" i="9"/>
  <c r="D22" i="9"/>
  <c r="D21" i="9"/>
  <c r="L7" i="9" s="1"/>
  <c r="H19" i="9"/>
  <c r="D19" i="9"/>
  <c r="B9" i="9"/>
  <c r="B8" i="9"/>
  <c r="B7" i="9"/>
  <c r="B6" i="9"/>
  <c r="B5" i="9"/>
  <c r="D2" i="9"/>
  <c r="D1" i="9"/>
  <c r="F88" i="8"/>
  <c r="E88" i="8"/>
  <c r="E87" i="8"/>
  <c r="E86" i="8"/>
  <c r="E85" i="8"/>
  <c r="E84" i="8"/>
  <c r="E83" i="8"/>
  <c r="H82" i="8"/>
  <c r="L82" i="8" s="1"/>
  <c r="G82" i="8"/>
  <c r="E79" i="8"/>
  <c r="E78" i="8"/>
  <c r="C87" i="8" s="1"/>
  <c r="E77" i="8"/>
  <c r="B84" i="8" s="1"/>
  <c r="F71" i="8"/>
  <c r="E71" i="8"/>
  <c r="E70" i="8"/>
  <c r="E69" i="8"/>
  <c r="E68" i="8"/>
  <c r="E67" i="8"/>
  <c r="E66" i="8"/>
  <c r="H65" i="8"/>
  <c r="L65" i="8" s="1"/>
  <c r="G65" i="8"/>
  <c r="E62" i="8"/>
  <c r="E61" i="8"/>
  <c r="C70" i="8" s="1"/>
  <c r="E60" i="8"/>
  <c r="B67" i="8" s="1"/>
  <c r="E36" i="8"/>
  <c r="F35" i="8"/>
  <c r="E35" i="8"/>
  <c r="E34" i="8"/>
  <c r="F29" i="8"/>
  <c r="E29" i="8"/>
  <c r="C29" i="8"/>
  <c r="B29" i="8"/>
  <c r="G29" i="8" s="1"/>
  <c r="H29" i="8" s="1"/>
  <c r="G28" i="8"/>
  <c r="H28" i="8" s="1"/>
  <c r="E28" i="8"/>
  <c r="C28" i="8"/>
  <c r="B28" i="8"/>
  <c r="L28" i="8" s="1"/>
  <c r="E27" i="8"/>
  <c r="C27" i="8"/>
  <c r="B27" i="8"/>
  <c r="G27" i="8" s="1"/>
  <c r="H27" i="8" s="1"/>
  <c r="G26" i="8"/>
  <c r="H26" i="8" s="1"/>
  <c r="E26" i="8"/>
  <c r="C26" i="8"/>
  <c r="B26" i="8"/>
  <c r="E25" i="8"/>
  <c r="C25" i="8"/>
  <c r="B25" i="8"/>
  <c r="G25" i="8" s="1"/>
  <c r="H25" i="8" s="1"/>
  <c r="G24" i="8"/>
  <c r="H24" i="8" s="1"/>
  <c r="E24" i="8"/>
  <c r="C24" i="8"/>
  <c r="B24" i="8"/>
  <c r="G23" i="8"/>
  <c r="H23" i="8" s="1"/>
  <c r="L23" i="8" s="1"/>
  <c r="B10" i="8"/>
  <c r="B9" i="8"/>
  <c r="B8" i="8"/>
  <c r="B7" i="8"/>
  <c r="B6" i="8"/>
  <c r="B5" i="8"/>
  <c r="D2" i="8"/>
  <c r="D1" i="8"/>
  <c r="E28" i="7"/>
  <c r="E30" i="7" s="1"/>
  <c r="E27" i="7"/>
  <c r="E26" i="7"/>
  <c r="E23" i="7"/>
  <c r="B8" i="7"/>
  <c r="B7" i="7"/>
  <c r="B6" i="7"/>
  <c r="B5" i="7"/>
  <c r="D2" i="7"/>
  <c r="D1" i="7"/>
  <c r="F30" i="6"/>
  <c r="K26" i="6"/>
  <c r="F26" i="6"/>
  <c r="E26" i="6"/>
  <c r="C26" i="6"/>
  <c r="B26" i="6"/>
  <c r="G26" i="6" s="1"/>
  <c r="H26" i="6" s="1"/>
  <c r="C25" i="6"/>
  <c r="B25" i="6"/>
  <c r="L25" i="6" s="1"/>
  <c r="E24" i="6"/>
  <c r="C24" i="6"/>
  <c r="B24" i="6"/>
  <c r="G24" i="6" s="1"/>
  <c r="H24" i="6" s="1"/>
  <c r="C23" i="6"/>
  <c r="B23" i="6"/>
  <c r="E22" i="6"/>
  <c r="C22" i="6"/>
  <c r="B22" i="6"/>
  <c r="G22" i="6" s="1"/>
  <c r="H22" i="6" s="1"/>
  <c r="C21" i="6"/>
  <c r="B21" i="6"/>
  <c r="J20" i="6"/>
  <c r="E25" i="6" s="1"/>
  <c r="G25" i="6" s="1"/>
  <c r="H25" i="6" s="1"/>
  <c r="G20" i="6"/>
  <c r="H20" i="6" s="1"/>
  <c r="L20" i="6" s="1"/>
  <c r="B10" i="6"/>
  <c r="B9" i="6"/>
  <c r="B8" i="6"/>
  <c r="B7" i="6"/>
  <c r="B6" i="6"/>
  <c r="B5" i="6"/>
  <c r="D2" i="6"/>
  <c r="D1" i="6"/>
  <c r="D25" i="5"/>
  <c r="D23" i="5"/>
  <c r="D27" i="5" s="1"/>
  <c r="D29" i="5" s="1"/>
  <c r="D21" i="5"/>
  <c r="B10" i="5"/>
  <c r="B9" i="5"/>
  <c r="B8" i="5"/>
  <c r="B7" i="5"/>
  <c r="B6" i="5"/>
  <c r="B5" i="5"/>
  <c r="D2" i="5"/>
  <c r="D1" i="5"/>
  <c r="F44" i="4"/>
  <c r="F43" i="4"/>
  <c r="F42" i="4"/>
  <c r="F41" i="4"/>
  <c r="F40" i="4"/>
  <c r="F39" i="4"/>
  <c r="F38" i="4"/>
  <c r="I37" i="4"/>
  <c r="F37" i="4"/>
  <c r="F36" i="4"/>
  <c r="I36" i="4" s="1"/>
  <c r="C36" i="4"/>
  <c r="I35" i="4"/>
  <c r="I39" i="4" s="1"/>
  <c r="F29" i="4"/>
  <c r="F28" i="4"/>
  <c r="F27" i="4"/>
  <c r="F26" i="4"/>
  <c r="F25" i="4"/>
  <c r="F24" i="4"/>
  <c r="F23" i="4"/>
  <c r="I22" i="4"/>
  <c r="F22" i="4"/>
  <c r="C21" i="4"/>
  <c r="F21" i="4" s="1"/>
  <c r="I21" i="4" s="1"/>
  <c r="I20" i="4"/>
  <c r="I24" i="4" s="1"/>
  <c r="B9" i="4"/>
  <c r="B8" i="4"/>
  <c r="B7" i="4"/>
  <c r="B6" i="4"/>
  <c r="B5" i="4"/>
  <c r="B4" i="4"/>
  <c r="D2" i="4"/>
  <c r="D1" i="4"/>
  <c r="K35" i="3"/>
  <c r="E35" i="3"/>
  <c r="D35" i="3"/>
  <c r="C35" i="3"/>
  <c r="B35" i="3"/>
  <c r="D34" i="3"/>
  <c r="C34" i="3"/>
  <c r="B34" i="3"/>
  <c r="D33" i="3"/>
  <c r="C33" i="3"/>
  <c r="B33" i="3"/>
  <c r="J32" i="3"/>
  <c r="E34" i="3" s="1"/>
  <c r="H32" i="3"/>
  <c r="L32" i="3" s="1"/>
  <c r="D41" i="3" s="1"/>
  <c r="G32" i="3"/>
  <c r="K26" i="3"/>
  <c r="E26" i="3"/>
  <c r="D26" i="3"/>
  <c r="C26" i="3"/>
  <c r="B26" i="3"/>
  <c r="D25" i="3"/>
  <c r="C25" i="3"/>
  <c r="B25" i="3"/>
  <c r="D24" i="3"/>
  <c r="C24" i="3"/>
  <c r="B24" i="3"/>
  <c r="J23" i="3"/>
  <c r="H23" i="3"/>
  <c r="L23" i="3" s="1"/>
  <c r="E41" i="3" s="1"/>
  <c r="G23" i="3"/>
  <c r="G20" i="3"/>
  <c r="G19" i="3"/>
  <c r="B10" i="3"/>
  <c r="B9" i="3"/>
  <c r="B8" i="3"/>
  <c r="B7" i="3"/>
  <c r="B6" i="3"/>
  <c r="B5" i="3"/>
  <c r="B4" i="3"/>
  <c r="D2" i="3"/>
  <c r="D1" i="3"/>
  <c r="F37" i="2"/>
  <c r="F35" i="2"/>
  <c r="F34" i="2"/>
  <c r="K30" i="2"/>
  <c r="F30" i="2"/>
  <c r="C30" i="2"/>
  <c r="B30" i="2"/>
  <c r="G30" i="2" s="1"/>
  <c r="C29" i="2"/>
  <c r="B29" i="2"/>
  <c r="C28" i="2"/>
  <c r="B28" i="2"/>
  <c r="C27" i="2"/>
  <c r="B27" i="2"/>
  <c r="C26" i="2"/>
  <c r="B26" i="2"/>
  <c r="C25" i="2"/>
  <c r="B25" i="2"/>
  <c r="C24" i="2"/>
  <c r="B24" i="2"/>
  <c r="C23" i="2"/>
  <c r="B23" i="2"/>
  <c r="C22" i="2"/>
  <c r="B22" i="2"/>
  <c r="C21" i="2"/>
  <c r="B21" i="2"/>
  <c r="J20" i="2"/>
  <c r="E30" i="2" s="1"/>
  <c r="H20" i="2"/>
  <c r="L20" i="2" s="1"/>
  <c r="G20" i="2"/>
  <c r="B10" i="2"/>
  <c r="B9" i="2"/>
  <c r="B8" i="2"/>
  <c r="B7" i="2"/>
  <c r="B6" i="2"/>
  <c r="B5" i="2"/>
  <c r="B4" i="2"/>
  <c r="D2" i="2"/>
  <c r="D1" i="2"/>
  <c r="E52" i="19" l="1"/>
  <c r="E50" i="19"/>
  <c r="E55" i="19" s="1"/>
  <c r="I21" i="19" s="1"/>
  <c r="E51" i="27"/>
  <c r="E55" i="27" s="1"/>
  <c r="I21" i="27" s="1"/>
  <c r="I24" i="26"/>
  <c r="D34" i="24"/>
  <c r="H34" i="24"/>
  <c r="H36" i="24" s="1"/>
  <c r="D33" i="24"/>
  <c r="D36" i="24" s="1"/>
  <c r="E33" i="21"/>
  <c r="G28" i="28"/>
  <c r="G23" i="18"/>
  <c r="G25" i="18" s="1"/>
  <c r="G29" i="18" s="1"/>
  <c r="G33" i="18" s="1"/>
  <c r="G20" i="12"/>
  <c r="H20" i="12" s="1"/>
  <c r="L11" i="12"/>
  <c r="L12" i="12"/>
  <c r="F32" i="11"/>
  <c r="F31" i="11"/>
  <c r="F36" i="11" s="1"/>
  <c r="L10" i="9"/>
  <c r="G84" i="8"/>
  <c r="H84" i="8" s="1"/>
  <c r="L26" i="8"/>
  <c r="L29" i="8"/>
  <c r="L24" i="8"/>
  <c r="L32" i="8" s="1"/>
  <c r="F34" i="8" s="1"/>
  <c r="L27" i="8"/>
  <c r="L25" i="8"/>
  <c r="B69" i="8"/>
  <c r="B71" i="8"/>
  <c r="B86" i="8"/>
  <c r="B88" i="8"/>
  <c r="C69" i="8"/>
  <c r="C84" i="8"/>
  <c r="L84" i="8" s="1"/>
  <c r="B66" i="8"/>
  <c r="B68" i="8"/>
  <c r="B70" i="8"/>
  <c r="B83" i="8"/>
  <c r="B85" i="8"/>
  <c r="B87" i="8"/>
  <c r="C67" i="8"/>
  <c r="G67" i="8" s="1"/>
  <c r="H67" i="8" s="1"/>
  <c r="C71" i="8"/>
  <c r="C86" i="8"/>
  <c r="C88" i="8"/>
  <c r="C66" i="8"/>
  <c r="C68" i="8"/>
  <c r="C83" i="8"/>
  <c r="C85" i="8"/>
  <c r="L22" i="6"/>
  <c r="L24" i="6"/>
  <c r="L23" i="6"/>
  <c r="L26" i="6"/>
  <c r="E21" i="6"/>
  <c r="G21" i="6" s="1"/>
  <c r="H21" i="6" s="1"/>
  <c r="L21" i="6" s="1"/>
  <c r="E23" i="6"/>
  <c r="G23" i="6" s="1"/>
  <c r="H23" i="6" s="1"/>
  <c r="G34" i="3"/>
  <c r="G25" i="3"/>
  <c r="F41" i="3"/>
  <c r="E25" i="3"/>
  <c r="E24" i="3"/>
  <c r="G24" i="3" s="1"/>
  <c r="H24" i="3" s="1"/>
  <c r="L24" i="3" s="1"/>
  <c r="E42" i="3" s="1"/>
  <c r="E33" i="3"/>
  <c r="G33" i="3" s="1"/>
  <c r="H33" i="3" s="1"/>
  <c r="L33" i="3" s="1"/>
  <c r="D42" i="3" s="1"/>
  <c r="F42" i="3" s="1"/>
  <c r="K36" i="3"/>
  <c r="H25" i="3"/>
  <c r="L25" i="3" s="1"/>
  <c r="E43" i="3" s="1"/>
  <c r="H34" i="3"/>
  <c r="L34" i="3" s="1"/>
  <c r="D43" i="3" s="1"/>
  <c r="G23" i="2"/>
  <c r="G25" i="2"/>
  <c r="H25" i="2" s="1"/>
  <c r="L25" i="2" s="1"/>
  <c r="G27" i="2"/>
  <c r="L24" i="2"/>
  <c r="L26" i="2"/>
  <c r="E21" i="2"/>
  <c r="G21" i="2" s="1"/>
  <c r="H21" i="2" s="1"/>
  <c r="L21" i="2" s="1"/>
  <c r="E23" i="2"/>
  <c r="E25" i="2"/>
  <c r="E27" i="2"/>
  <c r="E29" i="2"/>
  <c r="G29" i="2" s="1"/>
  <c r="H29" i="2" s="1"/>
  <c r="L29" i="2" s="1"/>
  <c r="H30" i="2"/>
  <c r="L30" i="2" s="1"/>
  <c r="E22" i="2"/>
  <c r="G22" i="2" s="1"/>
  <c r="H22" i="2" s="1"/>
  <c r="L22" i="2" s="1"/>
  <c r="H23" i="2"/>
  <c r="L23" i="2" s="1"/>
  <c r="E24" i="2"/>
  <c r="G24" i="2" s="1"/>
  <c r="H24" i="2" s="1"/>
  <c r="E26" i="2"/>
  <c r="G26" i="2" s="1"/>
  <c r="H26" i="2" s="1"/>
  <c r="H27" i="2"/>
  <c r="L27" i="2" s="1"/>
  <c r="E28" i="2"/>
  <c r="G28" i="2" s="1"/>
  <c r="H28" i="2" s="1"/>
  <c r="L28" i="2" s="1"/>
  <c r="H29" i="19" l="1"/>
  <c r="I29" i="19"/>
  <c r="H29" i="27"/>
  <c r="I29" i="27"/>
  <c r="G21" i="12"/>
  <c r="H21" i="12" s="1"/>
  <c r="G87" i="8"/>
  <c r="H87" i="8" s="1"/>
  <c r="L87" i="8" s="1"/>
  <c r="G88" i="8"/>
  <c r="H88" i="8" s="1"/>
  <c r="L88" i="8" s="1"/>
  <c r="G66" i="8"/>
  <c r="H66" i="8" s="1"/>
  <c r="L66" i="8" s="1"/>
  <c r="L74" i="8" s="1"/>
  <c r="F36" i="8" s="1"/>
  <c r="F38" i="8" s="1"/>
  <c r="L83" i="8"/>
  <c r="G83" i="8"/>
  <c r="H83" i="8" s="1"/>
  <c r="G71" i="8"/>
  <c r="H71" i="8" s="1"/>
  <c r="L71" i="8"/>
  <c r="L67" i="8"/>
  <c r="G68" i="8"/>
  <c r="H68" i="8" s="1"/>
  <c r="L68" i="8" s="1"/>
  <c r="G85" i="8"/>
  <c r="H85" i="8" s="1"/>
  <c r="L85" i="8" s="1"/>
  <c r="G86" i="8"/>
  <c r="H86" i="8" s="1"/>
  <c r="L86" i="8"/>
  <c r="G70" i="8"/>
  <c r="H70" i="8" s="1"/>
  <c r="L70" i="8" s="1"/>
  <c r="G69" i="8"/>
  <c r="H69" i="8" s="1"/>
  <c r="L69" i="8"/>
  <c r="K27" i="3"/>
  <c r="F26" i="3" s="1"/>
  <c r="G26" i="3" s="1"/>
  <c r="H26" i="3" s="1"/>
  <c r="L26" i="3" s="1"/>
  <c r="E44" i="3" s="1"/>
  <c r="F43" i="3"/>
  <c r="F48" i="3" s="1"/>
  <c r="F35" i="3"/>
  <c r="G35" i="3" s="1"/>
  <c r="H35" i="3" s="1"/>
  <c r="L35" i="3" s="1"/>
  <c r="D44" i="3" s="1"/>
  <c r="F44" i="3" s="1"/>
  <c r="G22" i="12" l="1"/>
  <c r="H22" i="12" s="1"/>
  <c r="G40" i="8"/>
  <c r="E40" i="8"/>
  <c r="L91" i="8"/>
  <c r="G23" i="12" l="1"/>
  <c r="H23" i="12" s="1"/>
  <c r="H26"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 Lacksonen</author>
    <author>lacksonent</author>
  </authors>
  <commentList>
    <comment ref="B6" authorId="0" shapeId="0" xr:uid="{7095FD6F-5976-4CB1-B989-12FFA13F884D}">
      <text>
        <r>
          <rPr>
            <sz val="8"/>
            <color indexed="81"/>
            <rFont val="Tahoma"/>
            <family val="2"/>
          </rPr>
          <t>Since this is a single cost now (year 0), this is a present cost (P).  It is entered in cell D19</t>
        </r>
      </text>
    </comment>
    <comment ref="F6" authorId="0" shapeId="0" xr:uid="{B09915E7-2C73-46AB-A26E-B5DC6F3BC37F}">
      <text>
        <r>
          <rPr>
            <sz val="8"/>
            <color indexed="81"/>
            <rFont val="Tahoma"/>
            <family val="2"/>
          </rPr>
          <t>Since this is a yearly end-of-year investment, starting at year 0, it is an annual (A) cost.  It is entered in cell D20.</t>
        </r>
      </text>
    </comment>
    <comment ref="C8" authorId="0" shapeId="0" xr:uid="{EA1A867A-1FFB-450E-B3A8-67E4B76DF3E5}">
      <text>
        <r>
          <rPr>
            <sz val="8"/>
            <color indexed="81"/>
            <rFont val="Tahoma"/>
            <family val="2"/>
          </rPr>
          <t xml:space="preserve">This is the desired final amount.  Since it is a single value in the future, it is a future value (F).  The actual future value is calculated in cell D24.  In Goal Seek, you will </t>
        </r>
        <r>
          <rPr>
            <b/>
            <sz val="8"/>
            <color indexed="81"/>
            <rFont val="Tahoma"/>
            <family val="2"/>
          </rPr>
          <t>Set Cell</t>
        </r>
        <r>
          <rPr>
            <sz val="8"/>
            <color indexed="81"/>
            <rFont val="Tahoma"/>
            <family val="2"/>
          </rPr>
          <t xml:space="preserve"> D24 equal to this desired final amount.  Cell D24 will equal this amount when the proper number of years or interest is determined by Goal Seek.</t>
        </r>
      </text>
    </comment>
    <comment ref="E8" authorId="1" shapeId="0" xr:uid="{A122A7B0-BD7B-4D46-8295-71CA4FA0E110}">
      <text>
        <r>
          <rPr>
            <sz val="8"/>
            <color indexed="81"/>
            <rFont val="Tahoma"/>
            <family val="2"/>
          </rPr>
          <t xml:space="preserve">This is what you need to determine using Goal Seek (the </t>
        </r>
        <r>
          <rPr>
            <b/>
            <sz val="8"/>
            <color indexed="81"/>
            <rFont val="Tahoma"/>
            <family val="2"/>
          </rPr>
          <t>Changing Cell</t>
        </r>
        <r>
          <rPr>
            <sz val="8"/>
            <color indexed="81"/>
            <rFont val="Tahoma"/>
            <family val="2"/>
          </rPr>
          <t>).  Put a guess of 10 years or 10% in as data for an initial guess.</t>
        </r>
      </text>
    </comment>
    <comment ref="C9" authorId="1" shapeId="0" xr:uid="{2B625DFB-7DCE-44CA-BDDF-A47F6C4650A2}">
      <text>
        <r>
          <rPr>
            <sz val="8"/>
            <color indexed="81"/>
            <rFont val="Tahoma"/>
            <family val="2"/>
          </rPr>
          <t>If this value is years, put the value in cell D22.
If this value is an annual return, put the value in cell D21.</t>
        </r>
      </text>
    </comment>
    <comment ref="B12" authorId="0" shapeId="0" xr:uid="{7581BF75-9F12-4C7E-8B23-728DB5F1AAF0}">
      <text>
        <r>
          <rPr>
            <sz val="8"/>
            <color indexed="81"/>
            <rFont val="Tahoma"/>
            <family val="2"/>
          </rPr>
          <t xml:space="preserve">The initial investment is the amount of the start up funds, shown in cell B6.
The annual costs are the operating costs, shown in cell F6.
Either the interest rate or the  number of years is shown in cell C9.  The final piece of data will be solved for using Goal Seek.
</t>
        </r>
      </text>
    </comment>
    <comment ref="B13" authorId="0" shapeId="0" xr:uid="{4251B257-E243-40C5-852D-17F5C5E9F4CF}">
      <text>
        <r>
          <rPr>
            <sz val="8"/>
            <color indexed="81"/>
            <rFont val="Tahoma"/>
            <family val="2"/>
          </rPr>
          <t>The piece of data that you must solve for, either the number of years or an interest rate, is listed in cell E8.  To verify that the final profit function is entered properly, put the initial guess value in cell D22 now.</t>
        </r>
      </text>
    </comment>
    <comment ref="B14" authorId="0" shapeId="0" xr:uid="{801872BD-3510-47DB-8915-0ADD5B194F3C}">
      <text>
        <r>
          <rPr>
            <sz val="8"/>
            <color indexed="81"/>
            <rFont val="Tahoma"/>
            <family val="2"/>
          </rPr>
          <t xml:space="preserve">Final profit is a future value, and should be displayed as a positive number (to match the target value in cell C8).  Use the </t>
        </r>
        <r>
          <rPr>
            <b/>
            <sz val="8"/>
            <color indexed="81"/>
            <rFont val="Tahoma"/>
            <family val="2"/>
          </rPr>
          <t>=FV</t>
        </r>
        <r>
          <rPr>
            <sz val="8"/>
            <color indexed="81"/>
            <rFont val="Tahoma"/>
            <family val="2"/>
          </rPr>
          <t xml:space="preserve"> function.
The first term is interest, in cell D21.
The second term is the number of periods, in cell D22.
The third term is the annual cost, in cell D20.
The fourth term is present cost, given in cell D19.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Tom Lacksonen</author>
  </authors>
  <commentList>
    <comment ref="B6" authorId="0" shapeId="0" xr:uid="{B563A2C4-BB7B-4062-99AC-380E3FA7EA48}">
      <text>
        <r>
          <rPr>
            <sz val="8"/>
            <color indexed="81"/>
            <rFont val="Tahoma"/>
            <family val="2"/>
          </rPr>
          <t xml:space="preserve">This is the annual revenue for years 1 to 4.  It is a receipt, so the value must be entered in the (at the end of) years 1 to 4 rows. </t>
        </r>
      </text>
    </comment>
    <comment ref="C6" authorId="0" shapeId="0" xr:uid="{35300DE3-F9F9-4A4F-AEC0-1013AA638EBE}">
      <text>
        <r>
          <rPr>
            <sz val="8"/>
            <color indexed="81"/>
            <rFont val="Tahoma"/>
            <family val="2"/>
          </rPr>
          <t>This is the length of the analysis.  Costs and revenues occuring beyond this point are not considered.</t>
        </r>
      </text>
    </comment>
    <comment ref="F6" authorId="0" shapeId="0" xr:uid="{FDA4C65D-B04A-4EDF-9FDB-6CDA402F31E7}">
      <text>
        <r>
          <rPr>
            <sz val="8"/>
            <color indexed="81"/>
            <rFont val="Tahoma"/>
            <family val="2"/>
          </rPr>
          <t>This is the purchase cost, so it is a disbursement.</t>
        </r>
      </text>
    </comment>
    <comment ref="B7" authorId="0" shapeId="0" xr:uid="{8B68617F-DDDC-4B6C-9737-1C3138E2A1FF}">
      <text>
        <r>
          <rPr>
            <sz val="8"/>
            <color indexed="81"/>
            <rFont val="Tahoma"/>
            <family val="2"/>
          </rPr>
          <t>The end of year 0 exactly coincides with the compounding period of years.  Therefore, the cost can be shown at this time and does not need to be moved.</t>
        </r>
      </text>
    </comment>
    <comment ref="D7" authorId="0" shapeId="0" xr:uid="{68649AA4-4C3D-4ED7-95D6-E0A43C389C23}">
      <text>
        <r>
          <rPr>
            <sz val="8"/>
            <color indexed="81"/>
            <rFont val="Tahoma"/>
            <family val="2"/>
          </rPr>
          <t>Training or development are costs, so they are a disbursement.</t>
        </r>
      </text>
    </comment>
    <comment ref="F7" authorId="0" shapeId="0" xr:uid="{92EF4788-F57C-4E76-8534-B933A83B8397}">
      <text>
        <r>
          <rPr>
            <sz val="8"/>
            <color indexed="81"/>
            <rFont val="Tahoma"/>
            <family val="2"/>
          </rPr>
          <t>Assume that "in a quarter" means during the quarter and not at the end of the quarter.  The timing of the disbursement does not coincide with the compounding period of years and there is no interest between compounding periods.  Therefore, the cost must be moved to the beginning compounding period, which is the end of year 0.  Add this cost to the purchase cost at the end of year 0.</t>
        </r>
      </text>
    </comment>
    <comment ref="B8" authorId="0" shapeId="0" xr:uid="{1B452F5F-92E4-436A-A644-919F0C35675E}">
      <text>
        <r>
          <rPr>
            <sz val="8"/>
            <color indexed="81"/>
            <rFont val="Tahoma"/>
            <family val="2"/>
          </rPr>
          <t>You are looking for a single value at some point in the future, which is a future value (F).</t>
        </r>
      </text>
    </comment>
    <comment ref="C8" authorId="0" shapeId="0" xr:uid="{2A43E2C7-D6DF-4AD6-AEB3-D4F3C660869A}">
      <text>
        <r>
          <rPr>
            <sz val="8"/>
            <color indexed="81"/>
            <rFont val="Tahoma"/>
            <family val="2"/>
          </rPr>
          <t>This is the overhaul cost, so it is a disbursement.</t>
        </r>
      </text>
    </comment>
    <comment ref="E8" authorId="0" shapeId="0" xr:uid="{B87B2422-AFC4-429D-9623-96FCB50E6E38}">
      <text>
        <r>
          <rPr>
            <sz val="8"/>
            <color indexed="81"/>
            <rFont val="Tahoma"/>
            <family val="2"/>
          </rPr>
          <t>Assume that "in a quarter" means during the quarter and not at the end of the quarter.  The timing of the disbursement does not coincide with the compounding period of years and there is no interest between compounding periods.  Therefore, the cost must be moved to the beginning compounding period, which is the end of the previous year.</t>
        </r>
      </text>
    </comment>
    <comment ref="B9" authorId="0" shapeId="0" xr:uid="{42016689-D842-4C8F-9D11-86C66367926F}">
      <text>
        <r>
          <rPr>
            <sz val="8"/>
            <color indexed="81"/>
            <rFont val="Tahoma"/>
            <family val="2"/>
          </rPr>
          <t>We will eventually find the present worth of all revenues and costs and add them up to get a single present worth.</t>
        </r>
      </text>
    </comment>
    <comment ref="G9" authorId="0" shapeId="0" xr:uid="{65B94C9C-9391-42D4-9322-9B587E3388D1}">
      <text>
        <r>
          <rPr>
            <sz val="8"/>
            <color indexed="81"/>
            <rFont val="Tahoma"/>
            <family val="2"/>
          </rPr>
          <t>This is the effective interest rate.  You do not need to convert from a nominal rate.  This wording assumes that the compounding period is one year.  Since the compounding period (year) is greater than the payment periods (quarters), the payments will have to be moved to the ends of the years.</t>
        </r>
      </text>
    </comment>
    <comment ref="B12" authorId="0" shapeId="0" xr:uid="{752FF145-8984-42B8-8A6C-2D49FD2FF576}">
      <text>
        <r>
          <rPr>
            <sz val="8"/>
            <color indexed="81"/>
            <rFont val="Tahoma"/>
            <family val="2"/>
          </rPr>
          <t xml:space="preserve">The annual disburesments are all costs, including purchase, training, delivery, and/or overhaul costs.
The compounding period (years) is greater than the payment period (quarters), so all disbursements must be moved to the appropriate years.  Since disbursements are equivalent to withdrawls, they need to be moved to the beginning of the year.  For example, any costs in quarters 1, 2, 3, and 4 of </t>
        </r>
        <r>
          <rPr>
            <b/>
            <sz val="8"/>
            <color indexed="81"/>
            <rFont val="Tahoma"/>
            <family val="2"/>
          </rPr>
          <t>year 3</t>
        </r>
        <r>
          <rPr>
            <sz val="8"/>
            <color indexed="81"/>
            <rFont val="Tahoma"/>
            <family val="2"/>
          </rPr>
          <t xml:space="preserve"> must be shown at the end of </t>
        </r>
        <r>
          <rPr>
            <b/>
            <sz val="8"/>
            <color indexed="81"/>
            <rFont val="Tahoma"/>
            <family val="2"/>
          </rPr>
          <t>year 2.</t>
        </r>
        <r>
          <rPr>
            <sz val="8"/>
            <color indexed="81"/>
            <rFont val="Tahoma"/>
            <family val="2"/>
          </rPr>
          <t xml:space="preserve">
Show disbursements as positive values.</t>
        </r>
      </text>
    </comment>
    <comment ref="B13" authorId="0" shapeId="0" xr:uid="{E679395E-3010-464E-9DC9-DA4E6F48F1A2}">
      <text>
        <r>
          <rPr>
            <sz val="8"/>
            <color indexed="81"/>
            <rFont val="Tahoma"/>
            <family val="2"/>
          </rPr>
          <t xml:space="preserve">The annual receipts can be assumed to occur over the course of years 1 to 4.
Since receipts are equivalent to deposits, they need to be moved to the end of the year.  For example, revenue during quarters 1, 2, 3, and 4 of year 3 must be shown at the end of year 3.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Tom Lacksonen</author>
  </authors>
  <commentList>
    <comment ref="E7" authorId="0" shapeId="0" xr:uid="{9FE0F5A8-0F01-4629-8864-14797CB160D2}">
      <text>
        <r>
          <rPr>
            <sz val="8"/>
            <color indexed="81"/>
            <rFont val="Tahoma"/>
            <family val="2"/>
          </rPr>
          <t>One time costs now (year 0) are present (P) costs.
One time costs other than at year 0 are future (F) costs.</t>
        </r>
      </text>
    </comment>
    <comment ref="G7" authorId="0" shapeId="0" xr:uid="{10B6F56A-637A-45DA-8F04-DC4A5EFF142C}">
      <text>
        <r>
          <rPr>
            <sz val="8"/>
            <color indexed="81"/>
            <rFont val="Tahoma"/>
            <family val="2"/>
          </rPr>
          <t>This is n, the number of time periods, which are years for this problem.
This is the number of years over which the building cost is to be paid for.</t>
        </r>
      </text>
    </comment>
    <comment ref="C8" authorId="0" shapeId="0" xr:uid="{EC487573-2ED2-4799-B11C-05454EA36FFC}">
      <text>
        <r>
          <rPr>
            <sz val="8"/>
            <color indexed="81"/>
            <rFont val="Tahoma"/>
            <family val="2"/>
          </rPr>
          <t>The goal of this problem is to find the series of equal end-of-period payments, which are annual (A).</t>
        </r>
      </text>
    </comment>
    <comment ref="F9" authorId="0" shapeId="0" xr:uid="{AD251866-07EF-415F-A244-57B7F969AF8A}">
      <text>
        <r>
          <rPr>
            <sz val="8"/>
            <color indexed="81"/>
            <rFont val="Tahoma"/>
            <family val="2"/>
          </rPr>
          <t xml:space="preserve">This is the interest rate, i, for the time period, which is years.
</t>
        </r>
      </text>
    </comment>
    <comment ref="B12" authorId="0" shapeId="0" xr:uid="{0B817555-2A4B-4582-93C5-937124D5E79D}">
      <text>
        <r>
          <rPr>
            <sz val="8"/>
            <color indexed="81"/>
            <rFont val="Tahoma"/>
            <family val="2"/>
          </rPr>
          <t xml:space="preserve">If the construction cost is to be paid now, it is a present cost, so put a </t>
        </r>
        <r>
          <rPr>
            <b/>
            <sz val="8"/>
            <color indexed="81"/>
            <rFont val="Tahoma"/>
            <family val="2"/>
          </rPr>
          <t>P</t>
        </r>
        <r>
          <rPr>
            <sz val="8"/>
            <color indexed="81"/>
            <rFont val="Tahoma"/>
            <family val="2"/>
          </rPr>
          <t xml:space="preserve"> in the cell.
If the construction cost is to be paid later, then it is a one-time future cost, so put an</t>
        </r>
        <r>
          <rPr>
            <b/>
            <sz val="8"/>
            <color indexed="81"/>
            <rFont val="Tahoma"/>
            <family val="2"/>
          </rPr>
          <t xml:space="preserve"> F</t>
        </r>
        <r>
          <rPr>
            <sz val="8"/>
            <color indexed="81"/>
            <rFont val="Tahoma"/>
            <family val="2"/>
          </rPr>
          <t xml:space="preserve"> in the cell.</t>
        </r>
      </text>
    </comment>
    <comment ref="B13" authorId="0" shapeId="0" xr:uid="{47A8F1F6-DEE5-4C30-A8AA-1846E9AAF1D0}">
      <text>
        <r>
          <rPr>
            <sz val="8"/>
            <color indexed="81"/>
            <rFont val="Tahoma"/>
            <family val="2"/>
          </rPr>
          <t>The interest rate is given in cell F9.
Since the cell is already formatted as a percent, the number can be entered as a whole number, decimal or a percent.
The number of years, n, is given in cell G7.
The cost amount is given in cell E7.</t>
        </r>
      </text>
    </comment>
  </commentList>
</comments>
</file>

<file path=xl/sharedStrings.xml><?xml version="1.0" encoding="utf-8"?>
<sst xmlns="http://schemas.openxmlformats.org/spreadsheetml/2006/main" count="662" uniqueCount="313">
  <si>
    <t>Compound Interest Tables</t>
  </si>
  <si>
    <t>(Spreadsheet format developed by V. Dean Adams, University of Nevada Reno)</t>
  </si>
  <si>
    <r>
      <t xml:space="preserve">Values of Interest Factors When </t>
    </r>
    <r>
      <rPr>
        <b/>
        <i/>
        <sz val="12"/>
        <rFont val="Arial"/>
        <family val="2"/>
      </rPr>
      <t>N</t>
    </r>
    <r>
      <rPr>
        <b/>
        <sz val="12"/>
        <rFont val="Arial"/>
        <family val="2"/>
      </rPr>
      <t xml:space="preserve"> Equals Infinity</t>
    </r>
  </si>
  <si>
    <t>Single Payment:</t>
  </si>
  <si>
    <t>Uniform Payment Series:</t>
  </si>
  <si>
    <r>
      <t>(</t>
    </r>
    <r>
      <rPr>
        <b/>
        <i/>
        <sz val="12"/>
        <rFont val="Arial"/>
        <family val="2"/>
      </rPr>
      <t>F/P</t>
    </r>
    <r>
      <rPr>
        <b/>
        <sz val="12"/>
        <rFont val="Arial"/>
        <family val="2"/>
      </rPr>
      <t xml:space="preserve">, </t>
    </r>
    <r>
      <rPr>
        <b/>
        <i/>
        <sz val="12"/>
        <rFont val="Arial"/>
        <family val="2"/>
      </rPr>
      <t>i</t>
    </r>
    <r>
      <rPr>
        <b/>
        <sz val="12"/>
        <rFont val="Arial"/>
        <family val="2"/>
      </rPr>
      <t>, ∞) = ∞</t>
    </r>
  </si>
  <si>
    <r>
      <t>(</t>
    </r>
    <r>
      <rPr>
        <b/>
        <i/>
        <sz val="12"/>
        <rFont val="Arial"/>
        <family val="2"/>
      </rPr>
      <t>A/F</t>
    </r>
    <r>
      <rPr>
        <b/>
        <sz val="12"/>
        <rFont val="Arial"/>
        <family val="2"/>
      </rPr>
      <t xml:space="preserve">, </t>
    </r>
    <r>
      <rPr>
        <b/>
        <i/>
        <sz val="12"/>
        <rFont val="Arial"/>
        <family val="2"/>
      </rPr>
      <t>i</t>
    </r>
    <r>
      <rPr>
        <b/>
        <sz val="12"/>
        <rFont val="Arial"/>
        <family val="2"/>
      </rPr>
      <t>, ∞) = 0</t>
    </r>
  </si>
  <si>
    <r>
      <t>(</t>
    </r>
    <r>
      <rPr>
        <b/>
        <i/>
        <sz val="12"/>
        <rFont val="Arial"/>
        <family val="2"/>
      </rPr>
      <t>P/F</t>
    </r>
    <r>
      <rPr>
        <b/>
        <sz val="12"/>
        <rFont val="Arial"/>
        <family val="2"/>
      </rPr>
      <t xml:space="preserve">, </t>
    </r>
    <r>
      <rPr>
        <b/>
        <i/>
        <sz val="12"/>
        <rFont val="Arial"/>
        <family val="2"/>
      </rPr>
      <t>i</t>
    </r>
    <r>
      <rPr>
        <b/>
        <sz val="12"/>
        <rFont val="Arial"/>
        <family val="2"/>
      </rPr>
      <t>, ∞) = 0</t>
    </r>
  </si>
  <si>
    <r>
      <t>(</t>
    </r>
    <r>
      <rPr>
        <b/>
        <i/>
        <sz val="12"/>
        <rFont val="Arial"/>
        <family val="2"/>
      </rPr>
      <t>A/P</t>
    </r>
    <r>
      <rPr>
        <b/>
        <sz val="12"/>
        <rFont val="Arial"/>
        <family val="2"/>
      </rPr>
      <t xml:space="preserve">, </t>
    </r>
    <r>
      <rPr>
        <b/>
        <i/>
        <sz val="12"/>
        <rFont val="Arial"/>
        <family val="2"/>
      </rPr>
      <t xml:space="preserve">i </t>
    </r>
    <r>
      <rPr>
        <b/>
        <sz val="12"/>
        <rFont val="Arial"/>
        <family val="2"/>
      </rPr>
      <t>,∞) =</t>
    </r>
    <r>
      <rPr>
        <b/>
        <i/>
        <sz val="12"/>
        <rFont val="Arial"/>
        <family val="2"/>
      </rPr>
      <t xml:space="preserve"> i</t>
    </r>
  </si>
  <si>
    <r>
      <t>(</t>
    </r>
    <r>
      <rPr>
        <b/>
        <i/>
        <sz val="12"/>
        <rFont val="Arial"/>
        <family val="2"/>
      </rPr>
      <t>F/A</t>
    </r>
    <r>
      <rPr>
        <b/>
        <sz val="12"/>
        <rFont val="Arial"/>
        <family val="2"/>
      </rPr>
      <t xml:space="preserve">, </t>
    </r>
    <r>
      <rPr>
        <b/>
        <i/>
        <sz val="12"/>
        <rFont val="Arial"/>
        <family val="2"/>
      </rPr>
      <t>i</t>
    </r>
    <r>
      <rPr>
        <b/>
        <sz val="12"/>
        <rFont val="Arial"/>
        <family val="2"/>
      </rPr>
      <t>, ∞) = ∞</t>
    </r>
  </si>
  <si>
    <t>Arithmetic Gradient Series:</t>
  </si>
  <si>
    <r>
      <t>(</t>
    </r>
    <r>
      <rPr>
        <b/>
        <i/>
        <sz val="12"/>
        <rFont val="Arial"/>
        <family val="2"/>
      </rPr>
      <t>P/A</t>
    </r>
    <r>
      <rPr>
        <b/>
        <sz val="12"/>
        <rFont val="Arial"/>
        <family val="2"/>
      </rPr>
      <t xml:space="preserve">, </t>
    </r>
    <r>
      <rPr>
        <b/>
        <i/>
        <sz val="12"/>
        <rFont val="Arial"/>
        <family val="2"/>
      </rPr>
      <t>i</t>
    </r>
    <r>
      <rPr>
        <b/>
        <sz val="12"/>
        <rFont val="Arial"/>
        <family val="2"/>
      </rPr>
      <t>, ∞) = 1/</t>
    </r>
    <r>
      <rPr>
        <b/>
        <i/>
        <sz val="12"/>
        <rFont val="Arial"/>
        <family val="2"/>
      </rPr>
      <t>i</t>
    </r>
  </si>
  <si>
    <r>
      <t>(</t>
    </r>
    <r>
      <rPr>
        <b/>
        <i/>
        <sz val="12"/>
        <rFont val="Arial"/>
        <family val="2"/>
      </rPr>
      <t>A/G</t>
    </r>
    <r>
      <rPr>
        <b/>
        <sz val="12"/>
        <rFont val="Arial"/>
        <family val="2"/>
      </rPr>
      <t xml:space="preserve">, </t>
    </r>
    <r>
      <rPr>
        <b/>
        <i/>
        <sz val="12"/>
        <rFont val="Arial"/>
        <family val="2"/>
      </rPr>
      <t>i</t>
    </r>
    <r>
      <rPr>
        <b/>
        <sz val="12"/>
        <rFont val="Arial"/>
        <family val="2"/>
      </rPr>
      <t>, ∞) = 1/</t>
    </r>
    <r>
      <rPr>
        <b/>
        <i/>
        <sz val="12"/>
        <rFont val="Arial"/>
        <family val="2"/>
      </rPr>
      <t>i</t>
    </r>
  </si>
  <si>
    <r>
      <t>(</t>
    </r>
    <r>
      <rPr>
        <b/>
        <i/>
        <sz val="12"/>
        <rFont val="Arial"/>
        <family val="2"/>
      </rPr>
      <t>P/G</t>
    </r>
    <r>
      <rPr>
        <b/>
        <sz val="12"/>
        <rFont val="Arial"/>
        <family val="2"/>
      </rPr>
      <t xml:space="preserve">, </t>
    </r>
    <r>
      <rPr>
        <b/>
        <i/>
        <sz val="12"/>
        <rFont val="Arial"/>
        <family val="2"/>
      </rPr>
      <t>i</t>
    </r>
    <r>
      <rPr>
        <b/>
        <sz val="12"/>
        <rFont val="Arial"/>
        <family val="2"/>
      </rPr>
      <t>, ∞) = 1/</t>
    </r>
    <r>
      <rPr>
        <b/>
        <i/>
        <sz val="12"/>
        <rFont val="Arial"/>
        <family val="2"/>
      </rPr>
      <t>i</t>
    </r>
    <r>
      <rPr>
        <b/>
        <vertAlign val="superscript"/>
        <sz val="12"/>
        <rFont val="Arial"/>
        <family val="2"/>
      </rPr>
      <t>2</t>
    </r>
  </si>
  <si>
    <t>Nomenclature and Definitions</t>
  </si>
  <si>
    <t>Non-Annual Compounding</t>
  </si>
  <si>
    <t>A …</t>
  </si>
  <si>
    <t>Uniform amount per interest period</t>
  </si>
  <si>
    <t>Factor Name</t>
  </si>
  <si>
    <t>Converts</t>
  </si>
  <si>
    <t>Symbol</t>
  </si>
  <si>
    <t>Formula</t>
  </si>
  <si>
    <t>Single Payment Compound Amount</t>
  </si>
  <si>
    <t>to F given P</t>
  </si>
  <si>
    <t>(F/P, i%, n)</t>
  </si>
  <si>
    <r>
      <t>(1 + i)</t>
    </r>
    <r>
      <rPr>
        <vertAlign val="superscript"/>
        <sz val="14"/>
        <rFont val="Times New Roman"/>
        <family val="1"/>
      </rPr>
      <t>n</t>
    </r>
  </si>
  <si>
    <t>B …</t>
  </si>
  <si>
    <t>Benefit</t>
  </si>
  <si>
    <r>
      <t xml:space="preserve">Discount Factors for </t>
    </r>
    <r>
      <rPr>
        <b/>
        <u/>
        <sz val="12"/>
        <rFont val="Times New Roman"/>
        <family val="1"/>
      </rPr>
      <t>Continuous Compounding</t>
    </r>
  </si>
  <si>
    <t>Single Payment Present Worth</t>
  </si>
  <si>
    <t>to P given F</t>
  </si>
  <si>
    <t>(P/F, i%, n)</t>
  </si>
  <si>
    <r>
      <t>(1 + i)</t>
    </r>
    <r>
      <rPr>
        <vertAlign val="superscript"/>
        <sz val="14"/>
        <rFont val="Times New Roman"/>
        <family val="1"/>
      </rPr>
      <t>-n</t>
    </r>
  </si>
  <si>
    <t>BV …</t>
  </si>
  <si>
    <t>Book value</t>
  </si>
  <si>
    <t>(n is the number of years)</t>
  </si>
  <si>
    <t>Uniform Series Sinking Fund</t>
  </si>
  <si>
    <t>to A given F</t>
  </si>
  <si>
    <t>(A/F, i%, n)</t>
  </si>
  <si>
    <t>C …</t>
  </si>
  <si>
    <t>Cost</t>
  </si>
  <si>
    <r>
      <t>(F/P, r%, n) = e</t>
    </r>
    <r>
      <rPr>
        <vertAlign val="superscript"/>
        <sz val="14"/>
        <rFont val="Times New Roman"/>
        <family val="1"/>
      </rPr>
      <t>r n</t>
    </r>
  </si>
  <si>
    <t>Uniform Series Capitol Recovery</t>
  </si>
  <si>
    <t>to A given P</t>
  </si>
  <si>
    <t>(A/P, i%, n)</t>
  </si>
  <si>
    <t>d …</t>
  </si>
  <si>
    <t>Combined interest rate per interest period</t>
  </si>
  <si>
    <r>
      <t>(P/F, r%, n) = e</t>
    </r>
    <r>
      <rPr>
        <vertAlign val="superscript"/>
        <sz val="14"/>
        <rFont val="Times New Roman"/>
        <family val="1"/>
      </rPr>
      <t>-r n</t>
    </r>
  </si>
  <si>
    <t>Uniform Series Compound Amount</t>
  </si>
  <si>
    <t>to F given A</t>
  </si>
  <si>
    <t>(F/A, i%, n)</t>
  </si>
  <si>
    <r>
      <t>D</t>
    </r>
    <r>
      <rPr>
        <b/>
        <vertAlign val="subscript"/>
        <sz val="12"/>
        <rFont val="Times New Roman"/>
        <family val="1"/>
      </rPr>
      <t>j</t>
    </r>
    <r>
      <rPr>
        <b/>
        <sz val="12"/>
        <rFont val="Times New Roman"/>
        <family val="1"/>
      </rPr>
      <t xml:space="preserve"> …</t>
    </r>
  </si>
  <si>
    <t>Depreciation in year j</t>
  </si>
  <si>
    <t>Uniform Series Present Worth</t>
  </si>
  <si>
    <t>to P given A</t>
  </si>
  <si>
    <t>(P/A, i%, n)</t>
  </si>
  <si>
    <t>F …</t>
  </si>
  <si>
    <t>Future worth, value or amount</t>
  </si>
  <si>
    <t>Uniform Gradient** Present Worth</t>
  </si>
  <si>
    <t>to P given G</t>
  </si>
  <si>
    <t>(P/G, i%, n)</t>
  </si>
  <si>
    <t>f …</t>
  </si>
  <si>
    <t>General inflation rate per interest period</t>
  </si>
  <si>
    <r>
      <t>Uniform Gradient</t>
    </r>
    <r>
      <rPr>
        <b/>
        <vertAlign val="superscript"/>
        <sz val="12"/>
        <rFont val="Times New Roman"/>
        <family val="1"/>
      </rPr>
      <t xml:space="preserve">† </t>
    </r>
    <r>
      <rPr>
        <b/>
        <sz val="12"/>
        <rFont val="Times New Roman"/>
        <family val="1"/>
      </rPr>
      <t>Future Worth</t>
    </r>
  </si>
  <si>
    <t>to F given G</t>
  </si>
  <si>
    <t>(F/G, i%, n)</t>
  </si>
  <si>
    <t>G …</t>
  </si>
  <si>
    <t>Uniform gradient amount per interest period</t>
  </si>
  <si>
    <r>
      <t>Uniform Gradient</t>
    </r>
    <r>
      <rPr>
        <b/>
        <vertAlign val="superscript"/>
        <sz val="12"/>
        <rFont val="Times New Roman"/>
        <family val="1"/>
      </rPr>
      <t xml:space="preserve">†† </t>
    </r>
    <r>
      <rPr>
        <b/>
        <sz val="12"/>
        <rFont val="Times New Roman"/>
        <family val="1"/>
      </rPr>
      <t>Uniform Series</t>
    </r>
  </si>
  <si>
    <t>to A given G</t>
  </si>
  <si>
    <t>(A/G, i%, n)</t>
  </si>
  <si>
    <t>i …</t>
  </si>
  <si>
    <t>Interest rate per interest period</t>
  </si>
  <si>
    <t xml:space="preserve">                               Subscripts</t>
  </si>
  <si>
    <r>
      <t>i</t>
    </r>
    <r>
      <rPr>
        <b/>
        <vertAlign val="subscript"/>
        <sz val="12"/>
        <rFont val="Times New Roman"/>
        <family val="1"/>
      </rPr>
      <t>e</t>
    </r>
    <r>
      <rPr>
        <b/>
        <sz val="12"/>
        <rFont val="Times New Roman"/>
        <family val="1"/>
      </rPr>
      <t xml:space="preserve"> …</t>
    </r>
  </si>
  <si>
    <t>Annual effective interest rate</t>
  </si>
  <si>
    <t>j …</t>
  </si>
  <si>
    <t>at time j</t>
  </si>
  <si>
    <t>m …</t>
  </si>
  <si>
    <t>Number of compounding periods per year</t>
  </si>
  <si>
    <t xml:space="preserve">                                       BOOK VALUE</t>
  </si>
  <si>
    <t>n …</t>
  </si>
  <si>
    <t>at time n</t>
  </si>
  <si>
    <t>Number of compounding periods; of the expected life of an asset</t>
  </si>
  <si>
    <r>
      <t xml:space="preserve">BV = initial cost – </t>
    </r>
    <r>
      <rPr>
        <b/>
        <sz val="12"/>
        <rFont val="Symbol"/>
        <family val="1"/>
        <charset val="2"/>
      </rPr>
      <t>S</t>
    </r>
    <r>
      <rPr>
        <b/>
        <sz val="12"/>
        <rFont val="Times New Roman"/>
        <family val="1"/>
      </rPr>
      <t>D</t>
    </r>
    <r>
      <rPr>
        <b/>
        <vertAlign val="subscript"/>
        <sz val="12"/>
        <rFont val="Times New Roman"/>
        <family val="1"/>
      </rPr>
      <t>j</t>
    </r>
  </si>
  <si>
    <t>** …</t>
  </si>
  <si>
    <t>P/G = (F/G)/(F/P) = (P/A)x(A/G)</t>
  </si>
  <si>
    <t>P …</t>
  </si>
  <si>
    <t>Present worth, value or amount</t>
  </si>
  <si>
    <r>
      <t>†</t>
    </r>
    <r>
      <rPr>
        <b/>
        <sz val="12"/>
        <rFont val="Times New Roman"/>
        <family val="1"/>
      </rPr>
      <t xml:space="preserve"> …</t>
    </r>
  </si>
  <si>
    <t>F/G = (F/A – n)/i = (F/A)x(A/G)</t>
  </si>
  <si>
    <t>r …</t>
  </si>
  <si>
    <t>Nominal annual interest rate</t>
  </si>
  <si>
    <r>
      <t>††</t>
    </r>
    <r>
      <rPr>
        <b/>
        <sz val="12"/>
        <rFont val="Times New Roman"/>
        <family val="1"/>
      </rPr>
      <t xml:space="preserve"> …</t>
    </r>
  </si>
  <si>
    <t>A/G = [1 – n(A/F)]/i</t>
  </si>
  <si>
    <r>
      <t>S</t>
    </r>
    <r>
      <rPr>
        <b/>
        <vertAlign val="subscript"/>
        <sz val="12"/>
        <rFont val="Times New Roman"/>
        <family val="1"/>
      </rPr>
      <t>n</t>
    </r>
    <r>
      <rPr>
        <b/>
        <sz val="12"/>
        <rFont val="Times New Roman"/>
        <family val="1"/>
      </rPr>
      <t xml:space="preserve"> …</t>
    </r>
  </si>
  <si>
    <t>Expected salvage value in year n</t>
  </si>
  <si>
    <t>Final solution</t>
  </si>
  <si>
    <r>
      <t xml:space="preserve">Press </t>
    </r>
    <r>
      <rPr>
        <b/>
        <sz val="12"/>
        <rFont val="Arial"/>
        <family val="2"/>
      </rPr>
      <t>Ctrl-e</t>
    </r>
    <r>
      <rPr>
        <sz val="12"/>
        <color indexed="12"/>
        <rFont val="Arial"/>
        <family val="2"/>
      </rPr>
      <t xml:space="preserve"> to generate another problem.</t>
    </r>
  </si>
  <si>
    <t>Year</t>
  </si>
  <si>
    <t>Gross income</t>
  </si>
  <si>
    <t>Expenses</t>
  </si>
  <si>
    <t>Deprec. Rate</t>
  </si>
  <si>
    <t>Depreciation</t>
  </si>
  <si>
    <t>Capital gains</t>
  </si>
  <si>
    <t>Taxable income</t>
  </si>
  <si>
    <t>Taxes</t>
  </si>
  <si>
    <t>Capital</t>
  </si>
  <si>
    <t>Salvage</t>
  </si>
  <si>
    <t>Net cash flow</t>
  </si>
  <si>
    <t>=B21-C21-H21-J21+K21</t>
  </si>
  <si>
    <t>Effective tax rate</t>
  </si>
  <si>
    <t>MARR</t>
  </si>
  <si>
    <t>Internal rate-of-return =</t>
  </si>
  <si>
    <t>Invest (Y or N)?</t>
  </si>
  <si>
    <t>N</t>
  </si>
  <si>
    <t>=IRR(L20:L30)</t>
  </si>
  <si>
    <r>
      <t>©</t>
    </r>
    <r>
      <rPr>
        <sz val="10"/>
        <rFont val="Arial"/>
        <family val="2"/>
      </rPr>
      <t xml:space="preserve">  Copyright, 2001, Thomas A. Lacksonen</t>
    </r>
  </si>
  <si>
    <t>Step 1</t>
  </si>
  <si>
    <t>Help</t>
  </si>
  <si>
    <r>
      <t xml:space="preserve">Press </t>
    </r>
    <r>
      <rPr>
        <b/>
        <sz val="12"/>
        <rFont val="Arial"/>
        <family val="2"/>
      </rPr>
      <t>Ctrl-a</t>
    </r>
    <r>
      <rPr>
        <sz val="12"/>
        <color indexed="12"/>
        <rFont val="Arial"/>
        <family val="2"/>
      </rPr>
      <t xml:space="preserve"> when finished.</t>
    </r>
  </si>
  <si>
    <t xml:space="preserve">Help </t>
  </si>
  <si>
    <r>
      <t xml:space="preserve">Move mouse over any cell with a </t>
    </r>
    <r>
      <rPr>
        <sz val="12"/>
        <color indexed="10"/>
        <rFont val="Arial"/>
        <family val="2"/>
      </rPr>
      <t>red arrow</t>
    </r>
    <r>
      <rPr>
        <sz val="12"/>
        <color indexed="12"/>
        <rFont val="Arial"/>
        <family val="2"/>
      </rPr>
      <t>.</t>
    </r>
  </si>
  <si>
    <t>Basic unit</t>
  </si>
  <si>
    <r>
      <t xml:space="preserve">Press </t>
    </r>
    <r>
      <rPr>
        <b/>
        <sz val="12"/>
        <rFont val="Arial"/>
        <family val="2"/>
      </rPr>
      <t>Ctrl-g</t>
    </r>
    <r>
      <rPr>
        <sz val="12"/>
        <color indexed="12"/>
        <rFont val="Arial"/>
        <family val="2"/>
      </rPr>
      <t xml:space="preserve"> to generate another problem.</t>
    </r>
  </si>
  <si>
    <t>High efficiency unit</t>
  </si>
  <si>
    <t>Net cash flow calculations</t>
  </si>
  <si>
    <t>High effic. unit</t>
  </si>
  <si>
    <t>Incremental cash flow</t>
  </si>
  <si>
    <t>Select?</t>
  </si>
  <si>
    <t>X</t>
  </si>
  <si>
    <t xml:space="preserve">Internal rate of return = </t>
  </si>
  <si>
    <t xml:space="preserve">  =IRR(F41:F44)</t>
  </si>
  <si>
    <t>Holding fixture</t>
  </si>
  <si>
    <t>Present cost</t>
  </si>
  <si>
    <t>Annual cost</t>
  </si>
  <si>
    <t>Total cost</t>
  </si>
  <si>
    <t>Interest =</t>
  </si>
  <si>
    <t xml:space="preserve"> Present value</t>
  </si>
  <si>
    <t xml:space="preserve">  =F21 + NPV(I20, F22:F25)</t>
  </si>
  <si>
    <t xml:space="preserve"> Years, n =</t>
  </si>
  <si>
    <t>Annual worth</t>
  </si>
  <si>
    <t xml:space="preserve">  =PMT(I20, I22, -I21)</t>
  </si>
  <si>
    <t>Rotating fixture</t>
  </si>
  <si>
    <t xml:space="preserve">  =F36 + NPV(I35, F37:F40)</t>
  </si>
  <si>
    <t xml:space="preserve">  =PMT(I35, I37, -I36)</t>
  </si>
  <si>
    <r>
      <t xml:space="preserve">Press </t>
    </r>
    <r>
      <rPr>
        <b/>
        <sz val="12"/>
        <rFont val="Arial"/>
        <family val="2"/>
      </rPr>
      <t>Ctrl-c</t>
    </r>
    <r>
      <rPr>
        <sz val="12"/>
        <color indexed="12"/>
        <rFont val="Arial"/>
        <family val="2"/>
      </rPr>
      <t xml:space="preserve"> to generate another problem.</t>
    </r>
  </si>
  <si>
    <t>Total benefits</t>
  </si>
  <si>
    <t>Total disbenefits</t>
  </si>
  <si>
    <t>Total costs</t>
  </si>
  <si>
    <t>Benefit/cost ratio</t>
  </si>
  <si>
    <t>= (D21 - D23) / D25</t>
  </si>
  <si>
    <t>Implement (Y/N)</t>
  </si>
  <si>
    <t>Interest rate</t>
  </si>
  <si>
    <t>Nominal rate per period, r:</t>
  </si>
  <si>
    <t>No. of compounding periods, m:</t>
  </si>
  <si>
    <t>Effective rate per period:</t>
  </si>
  <si>
    <t>Investment:</t>
  </si>
  <si>
    <t>Number of interest periods:</t>
  </si>
  <si>
    <t>Interest rate per period:</t>
  </si>
  <si>
    <t>Future value:</t>
  </si>
  <si>
    <t xml:space="preserve">  =FV(E28, E27, , -E26)</t>
  </si>
  <si>
    <t>Sales price per unit</t>
  </si>
  <si>
    <t>Production cost per unit</t>
  </si>
  <si>
    <t>Expected annual sales</t>
  </si>
  <si>
    <t>Net present worth</t>
  </si>
  <si>
    <t>Expected value analysis:</t>
  </si>
  <si>
    <t>Probability</t>
  </si>
  <si>
    <t>Present worth</t>
  </si>
  <si>
    <t>Most likely scenario</t>
  </si>
  <si>
    <t>Pessimistic scenario</t>
  </si>
  <si>
    <t>Optimistic scenario</t>
  </si>
  <si>
    <t>Expected present worth</t>
  </si>
  <si>
    <t>Build line?</t>
  </si>
  <si>
    <t>YES</t>
  </si>
  <si>
    <t>NO</t>
  </si>
  <si>
    <t>Optimistic:</t>
  </si>
  <si>
    <t>Pessimistic:</t>
  </si>
  <si>
    <t>=FV($D$21,$D$22,,-$D$23)</t>
  </si>
  <si>
    <t>=FV($D$21,$D$22,-$D$23)</t>
  </si>
  <si>
    <t>Type of cost (P or A):</t>
  </si>
  <si>
    <t>Future worth =</t>
  </si>
  <si>
    <t>Interest rate:</t>
  </si>
  <si>
    <t>Number of years:</t>
  </si>
  <si>
    <t>Amount of investment:</t>
  </si>
  <si>
    <t>Goal Seek</t>
  </si>
  <si>
    <t>Investment scheme problems</t>
  </si>
  <si>
    <t>Pyramid Schematics Inc. wants you to invest in their company.  Specifically, they</t>
  </si>
  <si>
    <t>Enter the given data in cells D19 through D22.</t>
  </si>
  <si>
    <t>Enter the final profit formula in cell D24.</t>
  </si>
  <si>
    <t>Initial investment =</t>
  </si>
  <si>
    <t>Annual costs =</t>
  </si>
  <si>
    <t>Years =</t>
  </si>
  <si>
    <t>Final profit =</t>
  </si>
  <si>
    <r>
      <t xml:space="preserve">Press </t>
    </r>
    <r>
      <rPr>
        <b/>
        <sz val="12"/>
        <rFont val="Arial"/>
        <family val="2"/>
      </rPr>
      <t>Ctrl-d</t>
    </r>
    <r>
      <rPr>
        <sz val="12"/>
        <color indexed="12"/>
        <rFont val="Arial"/>
        <family val="2"/>
      </rPr>
      <t xml:space="preserve"> to generate another problem.</t>
    </r>
  </si>
  <si>
    <t>Indirect rates per machine</t>
  </si>
  <si>
    <t>Machine</t>
  </si>
  <si>
    <t>Activity level</t>
  </si>
  <si>
    <t>Basis level</t>
  </si>
  <si>
    <t>Rate per machine hour</t>
  </si>
  <si>
    <t>paper press</t>
  </si>
  <si>
    <t>winder</t>
  </si>
  <si>
    <t>Product costs</t>
  </si>
  <si>
    <t>Category</t>
  </si>
  <si>
    <t>Actual hours</t>
  </si>
  <si>
    <t>Rate</t>
  </si>
  <si>
    <t>Indirect - paper press</t>
  </si>
  <si>
    <t>Indirect - winder</t>
  </si>
  <si>
    <t>Direct labor</t>
  </si>
  <si>
    <t>Raw materials</t>
  </si>
  <si>
    <t/>
  </si>
  <si>
    <t>---------------</t>
  </si>
  <si>
    <t xml:space="preserve">  =SUM(F30:F34)</t>
  </si>
  <si>
    <t>©  Copyright, 2001, Thomas A. Lacksonen</t>
  </si>
  <si>
    <t>Interest</t>
  </si>
  <si>
    <t>Balance</t>
  </si>
  <si>
    <t>Amount borrowed:</t>
  </si>
  <si>
    <t>Amount repaid:</t>
  </si>
  <si>
    <t xml:space="preserve"> = H23</t>
  </si>
  <si>
    <r>
      <t>©</t>
    </r>
    <r>
      <rPr>
        <sz val="11"/>
        <color theme="1"/>
        <rFont val="Calibri"/>
        <family val="2"/>
        <scheme val="minor"/>
      </rPr>
      <t xml:space="preserve"> Copyright, 2001, Thomas A. Lacksonen</t>
    </r>
  </si>
  <si>
    <t>Period</t>
  </si>
  <si>
    <t>Cash flow</t>
  </si>
  <si>
    <t xml:space="preserve">IRR = </t>
  </si>
  <si>
    <t xml:space="preserve">  =IRR(C19:C25)</t>
  </si>
  <si>
    <t>Annual costs</t>
  </si>
  <si>
    <t>Hardwood</t>
  </si>
  <si>
    <t>Carpet</t>
  </si>
  <si>
    <t>Incremental</t>
  </si>
  <si>
    <t>Select -&gt;</t>
  </si>
  <si>
    <t>IRR =</t>
  </si>
  <si>
    <t>Single</t>
  </si>
  <si>
    <t>Double</t>
  </si>
  <si>
    <t>TripleA</t>
  </si>
  <si>
    <t>TripleB</t>
  </si>
  <si>
    <t>Payment Period less than Compounding Period</t>
  </si>
  <si>
    <t>New Equipment problems</t>
  </si>
  <si>
    <t>Outer Print Co. is buying a new binding machine, which will increase sales revenue</t>
  </si>
  <si>
    <t>Training</t>
  </si>
  <si>
    <t>Enter the annual disbursements (costs) in column C.</t>
  </si>
  <si>
    <t>Enter the annual receipts (revenue) in column D.</t>
  </si>
  <si>
    <t>Disbursement</t>
  </si>
  <si>
    <t>Receipt</t>
  </si>
  <si>
    <t xml:space="preserve">  =E20 - D21</t>
  </si>
  <si>
    <r>
      <t>8</t>
    </r>
    <r>
      <rPr>
        <sz val="11"/>
        <color theme="1"/>
        <rFont val="Calibri"/>
        <family val="2"/>
        <scheme val="minor"/>
      </rPr>
      <t xml:space="preserve">  Copyright, 2001, Thomas A. Lacksonen</t>
    </r>
  </si>
  <si>
    <t>i =</t>
  </si>
  <si>
    <t>Investment</t>
  </si>
  <si>
    <t>Withdrawl</t>
  </si>
  <si>
    <t xml:space="preserve">P = </t>
  </si>
  <si>
    <t>P =</t>
  </si>
  <si>
    <t>n =</t>
  </si>
  <si>
    <t>F =</t>
  </si>
  <si>
    <t>year 17</t>
  </si>
  <si>
    <t>X =</t>
  </si>
  <si>
    <t xml:space="preserve"> =PMT(G31,G30,-G29)</t>
  </si>
  <si>
    <t>A, starting year 18</t>
  </si>
  <si>
    <t>Costs</t>
  </si>
  <si>
    <t>Revenues</t>
  </si>
  <si>
    <t>Interest:</t>
  </si>
  <si>
    <t>Present cost:</t>
  </si>
  <si>
    <t>Years:</t>
  </si>
  <si>
    <t>Annual rent:</t>
  </si>
  <si>
    <t>=PMT(G24, G25, -G26)</t>
  </si>
  <si>
    <t>Software</t>
  </si>
  <si>
    <t>Support</t>
  </si>
  <si>
    <t>Annual interest rate:</t>
  </si>
  <si>
    <t>Net present value:</t>
  </si>
  <si>
    <t xml:space="preserve">  =F20 + NPV(E31, F21:F28)</t>
  </si>
  <si>
    <t>Building expansion problems</t>
  </si>
  <si>
    <t>Y Toys is planning a 25,000 square foot expansion to their manufacturing facility</t>
  </si>
  <si>
    <t>to prepare for the introduction of their Blues Babies line of stuffed animals.</t>
  </si>
  <si>
    <t>They will start construction now on the $700000 building and in 3 years hope to pay for it.</t>
  </si>
  <si>
    <t>What is the annual amount of toy sales revenue needed to pay for the building?</t>
  </si>
  <si>
    <r>
      <t>Enter an</t>
    </r>
    <r>
      <rPr>
        <b/>
        <sz val="12"/>
        <color indexed="12"/>
        <rFont val="Arial"/>
        <family val="2"/>
      </rPr>
      <t xml:space="preserve"> P</t>
    </r>
    <r>
      <rPr>
        <sz val="12"/>
        <color indexed="12"/>
        <rFont val="Arial"/>
        <family val="2"/>
      </rPr>
      <t xml:space="preserve"> or </t>
    </r>
    <r>
      <rPr>
        <b/>
        <sz val="12"/>
        <color indexed="12"/>
        <rFont val="Arial"/>
        <family val="2"/>
      </rPr>
      <t>F</t>
    </r>
    <r>
      <rPr>
        <sz val="12"/>
        <color indexed="12"/>
        <rFont val="Arial"/>
        <family val="2"/>
      </rPr>
      <t xml:space="preserve"> in cell D19 to describe the type of cost.</t>
    </r>
  </si>
  <si>
    <t>Enter the requested data in cells D21 to D23.</t>
  </si>
  <si>
    <t>What is the annual amount Y Toys needs to save each year to pay for the building?</t>
  </si>
  <si>
    <t>Type of cost (P or F):</t>
  </si>
  <si>
    <t>Amount of cost:</t>
  </si>
  <si>
    <t>=PV($D$21,$D$22,-$D$23)</t>
  </si>
  <si>
    <t>=PV($D$21,$D$22,,-$D$23)</t>
  </si>
  <si>
    <t>Type of cost (A or F):</t>
  </si>
  <si>
    <t>Present worth of cost:</t>
  </si>
  <si>
    <t>LP gas truck</t>
  </si>
  <si>
    <t>Electric truck</t>
  </si>
  <si>
    <t>Purchase costs</t>
  </si>
  <si>
    <t>Salvage value</t>
  </si>
  <si>
    <t>Present value:</t>
  </si>
  <si>
    <t>Purchase</t>
  </si>
  <si>
    <t>Annual</t>
  </si>
  <si>
    <t>Total present value:</t>
  </si>
  <si>
    <t>Selected?</t>
  </si>
  <si>
    <t>HF reader</t>
  </si>
  <si>
    <t>Purchase cost</t>
  </si>
  <si>
    <t>Present cost=</t>
  </si>
  <si>
    <t>=E22 + NPV($H$21, E23:E34)</t>
  </si>
  <si>
    <t>UHF reader</t>
  </si>
  <si>
    <t>=E45 + NPV($H$21, E46:E57)</t>
  </si>
  <si>
    <t>Propane furnace</t>
  </si>
  <si>
    <t xml:space="preserve">  =F21 + NPV(I20, F22:F27)</t>
  </si>
  <si>
    <t>Natural gas furnace</t>
  </si>
  <si>
    <t xml:space="preserve">  =F36 + NPV(I35, F37:F49)</t>
  </si>
  <si>
    <t>DATA:</t>
  </si>
  <si>
    <t>New van</t>
  </si>
  <si>
    <t>Used van</t>
  </si>
  <si>
    <t>SENSITIVITY:</t>
  </si>
  <si>
    <t>Annual maintenance *</t>
  </si>
  <si>
    <t>IRR</t>
  </si>
  <si>
    <t xml:space="preserve">    * new van maintenance starts after warranty expires.</t>
  </si>
  <si>
    <t xml:space="preserve">Annual </t>
  </si>
  <si>
    <t>maintenance</t>
  </si>
  <si>
    <t>Do costs change the decision?</t>
  </si>
  <si>
    <t>Incremental analysis</t>
  </si>
  <si>
    <t>Incremental cost</t>
  </si>
  <si>
    <t>Select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</si>
</sst>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7" formatCode="&quot;$&quot;#,##0.00_);\(&quot;$&quot;#,##0.00\)"/>
    <numFmt numFmtId="8" formatCode="&quot;$&quot;#,##0.00_);[Red]\(&quot;$&quot;#,##0.00\)"/>
    <numFmt numFmtId="44" formatCode="_(&quot;$&quot;* #,##0.00_);_(&quot;$&quot;* \(#,##0.00\);_(&quot;$&quot;* &quot;-&quot;??_);_(@_)"/>
    <numFmt numFmtId="164" formatCode="&quot;$&quot;#,##0"/>
    <numFmt numFmtId="165" formatCode="&quot;$&quot;#,##0.00"/>
    <numFmt numFmtId="166" formatCode="0.0%"/>
    <numFmt numFmtId="167" formatCode="_(&quot;$&quot;* #,##0_);_(&quot;$&quot;* \(#,##0\);_(&quot;$&quot;* &quot;-&quot;??_);_(@_)"/>
    <numFmt numFmtId="168" formatCode="0.000%"/>
  </numFmts>
  <fonts count="36">
    <font>
      <sz val="11"/>
      <color theme="1"/>
      <name val="Calibri"/>
      <family val="2"/>
      <scheme val="minor"/>
    </font>
    <font>
      <sz val="11"/>
      <color theme="1"/>
      <name val="Calibri"/>
      <family val="2"/>
      <scheme val="minor"/>
    </font>
    <font>
      <sz val="20"/>
      <name val="Arial"/>
      <family val="2"/>
    </font>
    <font>
      <b/>
      <sz val="9"/>
      <name val="Arial"/>
      <family val="2"/>
    </font>
    <font>
      <sz val="12"/>
      <name val="Arial"/>
      <family val="2"/>
    </font>
    <font>
      <b/>
      <sz val="12"/>
      <name val="Arial"/>
      <family val="2"/>
    </font>
    <font>
      <b/>
      <i/>
      <sz val="12"/>
      <name val="Arial"/>
      <family val="2"/>
    </font>
    <font>
      <b/>
      <vertAlign val="superscript"/>
      <sz val="12"/>
      <name val="Arial"/>
      <family val="2"/>
    </font>
    <font>
      <b/>
      <sz val="12"/>
      <name val="Times New Roman"/>
      <family val="1"/>
    </font>
    <font>
      <sz val="12"/>
      <name val="Times New Roman"/>
      <family val="1"/>
    </font>
    <font>
      <sz val="10"/>
      <name val="Times New Roman"/>
      <family val="1"/>
    </font>
    <font>
      <b/>
      <sz val="10"/>
      <name val="Arial"/>
      <family val="2"/>
    </font>
    <font>
      <sz val="14"/>
      <name val="Times New Roman"/>
      <family val="1"/>
    </font>
    <font>
      <vertAlign val="superscript"/>
      <sz val="14"/>
      <name val="Times New Roman"/>
      <family val="1"/>
    </font>
    <font>
      <sz val="14"/>
      <name val="Arial"/>
      <family val="2"/>
    </font>
    <font>
      <b/>
      <u/>
      <sz val="12"/>
      <name val="Times New Roman"/>
      <family val="1"/>
    </font>
    <font>
      <b/>
      <vertAlign val="subscript"/>
      <sz val="12"/>
      <name val="Times New Roman"/>
      <family val="1"/>
    </font>
    <font>
      <b/>
      <vertAlign val="superscript"/>
      <sz val="12"/>
      <name val="Times New Roman"/>
      <family val="1"/>
    </font>
    <font>
      <b/>
      <sz val="12"/>
      <name val="Symbol"/>
      <family val="1"/>
      <charset val="2"/>
    </font>
    <font>
      <b/>
      <sz val="14"/>
      <name val="Times New Roman"/>
      <family val="1"/>
    </font>
    <font>
      <sz val="12"/>
      <color indexed="12"/>
      <name val="Arial"/>
      <family val="2"/>
    </font>
    <font>
      <sz val="10"/>
      <name val="Arial"/>
      <family val="2"/>
    </font>
    <font>
      <sz val="10"/>
      <color indexed="10"/>
      <name val="Arial"/>
      <family val="2"/>
    </font>
    <font>
      <sz val="12"/>
      <color indexed="10"/>
      <name val="Arial"/>
      <family val="2"/>
    </font>
    <font>
      <b/>
      <u/>
      <sz val="10"/>
      <name val="Arial"/>
      <family val="2"/>
    </font>
    <font>
      <sz val="8"/>
      <color indexed="81"/>
      <name val="Tahoma"/>
      <family val="2"/>
    </font>
    <font>
      <b/>
      <sz val="10"/>
      <color indexed="12"/>
      <name val="Arial"/>
      <family val="2"/>
    </font>
    <font>
      <b/>
      <sz val="10"/>
      <color indexed="10"/>
      <name val="Arial"/>
      <family val="2"/>
    </font>
    <font>
      <u/>
      <sz val="10"/>
      <name val="Arial"/>
      <family val="2"/>
    </font>
    <font>
      <sz val="10"/>
      <color indexed="20"/>
      <name val="Arial"/>
      <family val="2"/>
    </font>
    <font>
      <b/>
      <sz val="8"/>
      <color indexed="81"/>
      <name val="Tahoma"/>
      <family val="2"/>
    </font>
    <font>
      <sz val="10"/>
      <name val="Symbol"/>
      <family val="1"/>
      <charset val="2"/>
    </font>
    <font>
      <sz val="12"/>
      <name val="WP TypographicSymbols"/>
    </font>
    <font>
      <b/>
      <sz val="12"/>
      <color indexed="12"/>
      <name val="Arial"/>
      <family val="2"/>
    </font>
    <font>
      <sz val="8"/>
      <name val="Arial"/>
      <family val="2"/>
    </font>
    <font>
      <sz val="14"/>
      <name val="WP TypographicSymbols"/>
    </font>
  </fonts>
  <fills count="6">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11"/>
        <bgColor indexed="64"/>
      </patternFill>
    </fill>
    <fill>
      <patternFill patternType="solid">
        <fgColor indexed="13"/>
        <bgColor indexed="64"/>
      </patternFill>
    </fill>
  </fills>
  <borders count="12">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97">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8" fillId="0" borderId="0" xfId="0" applyFont="1" applyAlignment="1">
      <alignment horizontal="center" vertical="top" wrapText="1"/>
    </xf>
    <xf numFmtId="0" fontId="0" fillId="0" borderId="0" xfId="0" applyAlignment="1">
      <alignment horizontal="center"/>
    </xf>
    <xf numFmtId="0" fontId="8" fillId="0" borderId="0" xfId="0" applyFont="1" applyAlignment="1">
      <alignment horizontal="center"/>
    </xf>
    <xf numFmtId="0" fontId="8" fillId="0" borderId="1" xfId="0" applyFont="1" applyBorder="1"/>
    <xf numFmtId="0" fontId="8" fillId="0" borderId="0" xfId="0" applyFont="1" applyAlignment="1">
      <alignment wrapText="1"/>
    </xf>
    <xf numFmtId="0" fontId="9" fillId="0" borderId="0" xfId="0" applyFont="1"/>
    <xf numFmtId="0" fontId="9" fillId="0" borderId="1" xfId="0" applyFont="1" applyBorder="1" applyAlignment="1">
      <alignment wrapText="1"/>
    </xf>
    <xf numFmtId="0" fontId="10" fillId="0" borderId="0" xfId="0" applyFont="1" applyAlignment="1">
      <alignment horizontal="center"/>
    </xf>
    <xf numFmtId="0" fontId="8" fillId="0" borderId="1" xfId="0" applyFont="1" applyBorder="1" applyAlignment="1">
      <alignment vertical="top" wrapText="1"/>
    </xf>
    <xf numFmtId="0" fontId="8" fillId="0" borderId="0" xfId="0" applyFont="1" applyAlignment="1">
      <alignment vertical="top" wrapText="1"/>
    </xf>
    <xf numFmtId="0" fontId="11" fillId="0" borderId="2" xfId="0" applyFont="1" applyBorder="1"/>
    <xf numFmtId="0" fontId="12" fillId="0" borderId="0" xfId="0" applyFont="1" applyAlignment="1">
      <alignment horizontal="center" vertical="top" wrapText="1"/>
    </xf>
    <xf numFmtId="0" fontId="9" fillId="0" borderId="0" xfId="0" applyFont="1" applyAlignment="1">
      <alignment vertical="top" wrapText="1"/>
    </xf>
    <xf numFmtId="0" fontId="8" fillId="0" borderId="3" xfId="0" applyFont="1" applyBorder="1" applyAlignment="1">
      <alignment vertical="top" wrapText="1"/>
    </xf>
    <xf numFmtId="0" fontId="9" fillId="0" borderId="0" xfId="0" applyFont="1" applyAlignment="1">
      <alignment vertical="top" wrapText="1"/>
    </xf>
    <xf numFmtId="0" fontId="10" fillId="0" borderId="0" xfId="0" applyFont="1" applyAlignment="1">
      <alignment wrapText="1"/>
    </xf>
    <xf numFmtId="0" fontId="8" fillId="0" borderId="0" xfId="0" applyFont="1" applyAlignment="1">
      <alignment vertical="top" wrapText="1"/>
    </xf>
    <xf numFmtId="0" fontId="8" fillId="0" borderId="0" xfId="0" applyFont="1" applyAlignment="1">
      <alignment horizontal="center" vertical="justify"/>
    </xf>
    <xf numFmtId="0" fontId="17" fillId="0" borderId="0" xfId="0" applyFont="1" applyAlignment="1">
      <alignment vertical="top" wrapText="1"/>
    </xf>
    <xf numFmtId="0" fontId="11" fillId="0" borderId="0" xfId="0" applyFont="1"/>
    <xf numFmtId="0" fontId="14" fillId="0" borderId="0" xfId="0" applyFont="1"/>
    <xf numFmtId="0" fontId="8" fillId="0" borderId="1" xfId="0" applyFont="1" applyBorder="1" applyAlignment="1">
      <alignment horizontal="center" vertical="justify"/>
    </xf>
    <xf numFmtId="0" fontId="8" fillId="0" borderId="1" xfId="0" applyFont="1" applyBorder="1" applyAlignment="1">
      <alignment horizontal="center" vertical="top" wrapText="1"/>
    </xf>
    <xf numFmtId="0" fontId="9" fillId="0" borderId="1" xfId="0" applyFont="1" applyBorder="1" applyAlignment="1">
      <alignment vertical="top" wrapText="1"/>
    </xf>
    <xf numFmtId="0" fontId="5" fillId="0" borderId="4" xfId="0" applyFont="1" applyBorder="1"/>
    <xf numFmtId="0" fontId="5" fillId="0" borderId="5" xfId="0" applyFont="1" applyBorder="1"/>
    <xf numFmtId="0" fontId="5" fillId="0" borderId="6" xfId="0" applyFont="1" applyBorder="1"/>
    <xf numFmtId="0" fontId="8" fillId="0" borderId="4" xfId="0" applyFont="1" applyBorder="1" applyAlignment="1">
      <alignment horizontal="center" vertical="top" wrapText="1"/>
    </xf>
    <xf numFmtId="0" fontId="8" fillId="0" borderId="6" xfId="0" applyFont="1" applyBorder="1" applyAlignment="1">
      <alignment horizontal="center" vertical="top" wrapText="1"/>
    </xf>
    <xf numFmtId="0" fontId="8" fillId="0" borderId="4" xfId="0" applyFont="1" applyBorder="1" applyAlignment="1">
      <alignment vertical="top" wrapText="1"/>
    </xf>
    <xf numFmtId="0" fontId="8" fillId="0" borderId="6" xfId="0" applyFont="1" applyBorder="1" applyAlignment="1">
      <alignment vertical="top" wrapText="1"/>
    </xf>
    <xf numFmtId="0" fontId="8" fillId="0" borderId="1" xfId="0" applyFont="1" applyBorder="1" applyAlignment="1">
      <alignment vertical="top" wrapText="1"/>
    </xf>
    <xf numFmtId="0" fontId="12" fillId="0" borderId="1" xfId="0" applyFont="1" applyBorder="1" applyAlignment="1">
      <alignment horizontal="center" vertical="top" wrapText="1"/>
    </xf>
    <xf numFmtId="0" fontId="12" fillId="0" borderId="4" xfId="0" applyFont="1" applyBorder="1" applyAlignment="1">
      <alignment horizontal="center" vertical="top" wrapText="1"/>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8" fillId="0" borderId="5" xfId="0" applyFont="1" applyBorder="1" applyAlignment="1">
      <alignment horizontal="center" vertical="top" wrapText="1"/>
    </xf>
    <xf numFmtId="0" fontId="9" fillId="0" borderId="0" xfId="0" applyFont="1" applyBorder="1" applyAlignment="1">
      <alignment wrapText="1"/>
    </xf>
    <xf numFmtId="0" fontId="19" fillId="0" borderId="0" xfId="0" applyFont="1" applyAlignment="1">
      <alignment horizontal="center"/>
    </xf>
    <xf numFmtId="0" fontId="0" fillId="2" borderId="7" xfId="0" applyFill="1" applyBorder="1"/>
    <xf numFmtId="0" fontId="0" fillId="2" borderId="3" xfId="0" applyFill="1" applyBorder="1"/>
    <xf numFmtId="0" fontId="0" fillId="2" borderId="8" xfId="0" applyFill="1" applyBorder="1"/>
    <xf numFmtId="0" fontId="0" fillId="2" borderId="1" xfId="0" applyFill="1" applyBorder="1"/>
    <xf numFmtId="0" fontId="0" fillId="2" borderId="0" xfId="0" applyFill="1"/>
    <xf numFmtId="6" fontId="0" fillId="2" borderId="0" xfId="0" applyNumberFormat="1" applyFill="1"/>
    <xf numFmtId="0" fontId="0" fillId="2" borderId="2" xfId="0" applyFill="1" applyBorder="1"/>
    <xf numFmtId="0" fontId="0" fillId="2" borderId="9" xfId="0" applyFill="1" applyBorder="1"/>
    <xf numFmtId="0" fontId="0" fillId="2" borderId="10" xfId="0" applyFill="1" applyBorder="1"/>
    <xf numFmtId="9" fontId="0" fillId="2" borderId="10" xfId="0" applyNumberFormat="1" applyFill="1" applyBorder="1"/>
    <xf numFmtId="0" fontId="0" fillId="2" borderId="11" xfId="0" applyFill="1" applyBorder="1"/>
    <xf numFmtId="0" fontId="8" fillId="3" borderId="7" xfId="0" applyFont="1" applyFill="1" applyBorder="1"/>
    <xf numFmtId="0" fontId="0" fillId="3" borderId="3" xfId="0" applyFill="1" applyBorder="1"/>
    <xf numFmtId="0" fontId="0" fillId="0" borderId="3" xfId="0" applyBorder="1"/>
    <xf numFmtId="0" fontId="0" fillId="0" borderId="8" xfId="0" applyBorder="1"/>
    <xf numFmtId="0" fontId="0" fillId="0" borderId="1" xfId="0" applyBorder="1"/>
    <xf numFmtId="0" fontId="20" fillId="0" borderId="0" xfId="0" applyFont="1"/>
    <xf numFmtId="0" fontId="0" fillId="0" borderId="2" xfId="0" applyBorder="1"/>
    <xf numFmtId="0" fontId="0" fillId="0" borderId="9" xfId="0" applyBorder="1"/>
    <xf numFmtId="0" fontId="0" fillId="0" borderId="10" xfId="0" applyBorder="1"/>
    <xf numFmtId="0" fontId="0" fillId="0" borderId="11" xfId="0" applyBorder="1"/>
    <xf numFmtId="10" fontId="0" fillId="0" borderId="0" xfId="0" applyNumberFormat="1"/>
    <xf numFmtId="0" fontId="0" fillId="0" borderId="4" xfId="0" applyBorder="1"/>
    <xf numFmtId="0" fontId="0" fillId="0" borderId="5" xfId="0" applyBorder="1" applyAlignment="1">
      <alignment horizontal="center" wrapText="1"/>
    </xf>
    <xf numFmtId="0" fontId="0" fillId="0" borderId="6" xfId="0" applyBorder="1" applyAlignment="1">
      <alignment horizontal="center" wrapText="1"/>
    </xf>
    <xf numFmtId="0" fontId="21" fillId="0" borderId="1" xfId="0" applyFont="1" applyBorder="1"/>
    <xf numFmtId="164" fontId="21" fillId="0" borderId="0" xfId="0" applyNumberFormat="1" applyFont="1"/>
    <xf numFmtId="164" fontId="21" fillId="0" borderId="2" xfId="0" applyNumberFormat="1" applyFont="1" applyBorder="1"/>
    <xf numFmtId="10" fontId="0" fillId="0" borderId="0" xfId="2" applyNumberFormat="1" applyFont="1" applyBorder="1"/>
    <xf numFmtId="10" fontId="0" fillId="0" borderId="0" xfId="2" applyNumberFormat="1" applyFont="1"/>
    <xf numFmtId="165" fontId="0" fillId="0" borderId="0" xfId="0" applyNumberFormat="1"/>
    <xf numFmtId="0" fontId="0" fillId="0" borderId="0" xfId="0" quotePrefix="1" applyAlignment="1">
      <alignment horizontal="right"/>
    </xf>
    <xf numFmtId="8" fontId="0" fillId="0" borderId="0" xfId="0" applyNumberFormat="1"/>
    <xf numFmtId="8" fontId="0" fillId="0" borderId="0" xfId="0" quotePrefix="1" applyNumberFormat="1"/>
    <xf numFmtId="0" fontId="0" fillId="0" borderId="7" xfId="0" applyBorder="1"/>
    <xf numFmtId="9" fontId="0" fillId="0" borderId="8" xfId="2" applyFont="1" applyFill="1" applyBorder="1"/>
    <xf numFmtId="9" fontId="0" fillId="0" borderId="11" xfId="0" applyNumberFormat="1" applyBorder="1"/>
    <xf numFmtId="10" fontId="0" fillId="4" borderId="3" xfId="0" applyNumberFormat="1" applyFill="1" applyBorder="1"/>
    <xf numFmtId="0" fontId="0" fillId="4" borderId="8" xfId="0" applyFill="1" applyBorder="1" applyAlignment="1">
      <alignment horizontal="center"/>
    </xf>
    <xf numFmtId="9" fontId="0" fillId="0" borderId="10" xfId="0" quotePrefix="1" applyNumberFormat="1" applyBorder="1"/>
    <xf numFmtId="164" fontId="0" fillId="0" borderId="0" xfId="0" applyNumberFormat="1"/>
    <xf numFmtId="6" fontId="22" fillId="2" borderId="0" xfId="0" applyNumberFormat="1" applyFont="1" applyFill="1"/>
    <xf numFmtId="0" fontId="22" fillId="2" borderId="0" xfId="0" applyFont="1" applyFill="1"/>
    <xf numFmtId="0" fontId="23" fillId="0" borderId="3" xfId="0" applyFont="1" applyBorder="1"/>
    <xf numFmtId="0" fontId="23" fillId="0" borderId="0" xfId="0" applyFont="1"/>
    <xf numFmtId="0" fontId="8" fillId="3" borderId="9" xfId="0" applyFont="1" applyFill="1" applyBorder="1"/>
    <xf numFmtId="0" fontId="20" fillId="0" borderId="10" xfId="0" applyFont="1" applyBorder="1"/>
    <xf numFmtId="9" fontId="0" fillId="0" borderId="0" xfId="0" quotePrefix="1" applyNumberFormat="1"/>
    <xf numFmtId="0" fontId="0" fillId="0" borderId="0" xfId="0" applyAlignment="1">
      <alignment horizontal="center" wrapText="1"/>
    </xf>
    <xf numFmtId="0" fontId="21" fillId="0" borderId="0" xfId="0" applyFont="1"/>
    <xf numFmtId="0" fontId="24" fillId="0" borderId="0" xfId="0" applyFont="1"/>
    <xf numFmtId="0" fontId="0" fillId="0" borderId="10" xfId="0" applyBorder="1" applyAlignment="1">
      <alignment horizontal="right"/>
    </xf>
    <xf numFmtId="164" fontId="0" fillId="0" borderId="11" xfId="0" applyNumberFormat="1" applyBorder="1"/>
    <xf numFmtId="164" fontId="0" fillId="0" borderId="10" xfId="0" applyNumberFormat="1" applyBorder="1"/>
    <xf numFmtId="0" fontId="0" fillId="0" borderId="4" xfId="0" applyBorder="1" applyAlignment="1">
      <alignment horizontal="center"/>
    </xf>
    <xf numFmtId="164" fontId="26" fillId="0" borderId="2" xfId="0" applyNumberFormat="1" applyFont="1" applyBorder="1"/>
    <xf numFmtId="0" fontId="11" fillId="0" borderId="1" xfId="0" applyFont="1" applyBorder="1"/>
    <xf numFmtId="0" fontId="0" fillId="4" borderId="0" xfId="0" applyFill="1" applyAlignment="1">
      <alignment horizontal="center"/>
    </xf>
    <xf numFmtId="166" fontId="26" fillId="0" borderId="2" xfId="0" applyNumberFormat="1" applyFont="1" applyBorder="1"/>
    <xf numFmtId="0" fontId="0" fillId="0" borderId="0" xfId="0" quotePrefix="1"/>
    <xf numFmtId="10" fontId="27" fillId="0" borderId="0" xfId="0" applyNumberFormat="1" applyFont="1"/>
    <xf numFmtId="0" fontId="22" fillId="0" borderId="0" xfId="0" applyFont="1"/>
    <xf numFmtId="6" fontId="0" fillId="0" borderId="0" xfId="0" applyNumberFormat="1"/>
    <xf numFmtId="164" fontId="21" fillId="0" borderId="0" xfId="1" applyNumberFormat="1" applyFont="1" applyFill="1" applyBorder="1" applyAlignment="1"/>
    <xf numFmtId="9" fontId="21" fillId="0" borderId="0" xfId="0" applyNumberFormat="1" applyFont="1"/>
    <xf numFmtId="9" fontId="21" fillId="0" borderId="0" xfId="2" applyFont="1" applyFill="1" applyBorder="1" applyAlignment="1"/>
    <xf numFmtId="164" fontId="21" fillId="0" borderId="0" xfId="0" quotePrefix="1" applyNumberFormat="1" applyFont="1"/>
    <xf numFmtId="0" fontId="21" fillId="0" borderId="0" xfId="1" applyNumberFormat="1" applyFont="1" applyFill="1" applyBorder="1" applyAlignment="1"/>
    <xf numFmtId="164" fontId="21" fillId="0" borderId="3" xfId="1" applyNumberFormat="1" applyFont="1" applyFill="1" applyBorder="1" applyAlignment="1"/>
    <xf numFmtId="0" fontId="21" fillId="0" borderId="3" xfId="1" applyNumberFormat="1" applyFont="1" applyFill="1" applyBorder="1" applyAlignment="1"/>
    <xf numFmtId="164" fontId="21" fillId="0" borderId="8" xfId="1" applyNumberFormat="1" applyFont="1" applyFill="1" applyBorder="1" applyAlignment="1"/>
    <xf numFmtId="167" fontId="21" fillId="0" borderId="7" xfId="1" applyNumberFormat="1" applyFont="1" applyFill="1" applyBorder="1" applyAlignment="1"/>
    <xf numFmtId="9" fontId="21" fillId="0" borderId="8" xfId="0" applyNumberFormat="1" applyFont="1" applyBorder="1"/>
    <xf numFmtId="164" fontId="21" fillId="0" borderId="2" xfId="1" applyNumberFormat="1" applyFont="1" applyFill="1" applyBorder="1" applyAlignment="1"/>
    <xf numFmtId="164" fontId="0" fillId="0" borderId="2" xfId="0" applyNumberFormat="1" applyBorder="1"/>
    <xf numFmtId="164" fontId="0" fillId="0" borderId="0" xfId="0" quotePrefix="1" applyNumberFormat="1"/>
    <xf numFmtId="164" fontId="21" fillId="0" borderId="1" xfId="1" applyNumberFormat="1" applyFont="1" applyFill="1" applyBorder="1" applyAlignment="1"/>
    <xf numFmtId="0" fontId="21" fillId="0" borderId="2" xfId="1" applyNumberFormat="1" applyFont="1" applyFill="1" applyBorder="1" applyAlignment="1"/>
    <xf numFmtId="0" fontId="11" fillId="0" borderId="9" xfId="0" applyFont="1" applyBorder="1"/>
    <xf numFmtId="0" fontId="0" fillId="4" borderId="11" xfId="0" applyFill="1" applyBorder="1" applyAlignment="1">
      <alignment horizontal="center"/>
    </xf>
    <xf numFmtId="164" fontId="11" fillId="0" borderId="10" xfId="0" applyNumberFormat="1" applyFont="1" applyBorder="1"/>
    <xf numFmtId="0" fontId="28" fillId="0" borderId="0" xfId="0" applyFont="1"/>
    <xf numFmtId="164" fontId="0" fillId="0" borderId="3" xfId="0" applyNumberFormat="1" applyBorder="1"/>
    <xf numFmtId="164" fontId="0" fillId="0" borderId="0" xfId="0" quotePrefix="1" applyNumberFormat="1" applyAlignment="1">
      <alignment horizontal="left"/>
    </xf>
    <xf numFmtId="167" fontId="0" fillId="0" borderId="0" xfId="1" applyNumberFormat="1" applyFont="1"/>
    <xf numFmtId="164" fontId="0" fillId="0" borderId="0" xfId="0" applyNumberFormat="1" applyAlignment="1">
      <alignment horizontal="left"/>
    </xf>
    <xf numFmtId="165" fontId="0" fillId="0" borderId="0" xfId="0" applyNumberFormat="1" applyAlignment="1">
      <alignment horizontal="center"/>
    </xf>
    <xf numFmtId="0" fontId="0" fillId="0" borderId="0" xfId="0" applyAlignment="1">
      <alignment horizontal="right"/>
    </xf>
    <xf numFmtId="167" fontId="0" fillId="0" borderId="0" xfId="1" applyNumberFormat="1" applyFont="1" applyFill="1" applyBorder="1"/>
    <xf numFmtId="167" fontId="0" fillId="0" borderId="8" xfId="1" applyNumberFormat="1" applyFont="1" applyFill="1" applyBorder="1"/>
    <xf numFmtId="164" fontId="0" fillId="0" borderId="2" xfId="2" applyNumberFormat="1" applyFont="1" applyFill="1" applyBorder="1"/>
    <xf numFmtId="167" fontId="0" fillId="0" borderId="2" xfId="1" applyNumberFormat="1" applyFont="1" applyFill="1" applyBorder="1"/>
    <xf numFmtId="164" fontId="0" fillId="0" borderId="2" xfId="1" applyNumberFormat="1" applyFont="1" applyFill="1" applyBorder="1"/>
    <xf numFmtId="9" fontId="0" fillId="0" borderId="2" xfId="2" applyFont="1" applyFill="1" applyBorder="1"/>
    <xf numFmtId="2" fontId="0" fillId="0" borderId="2" xfId="0" applyNumberFormat="1" applyBorder="1"/>
    <xf numFmtId="0" fontId="21" fillId="0" borderId="9" xfId="0" applyFont="1" applyBorder="1"/>
    <xf numFmtId="165" fontId="0" fillId="0" borderId="10" xfId="0" applyNumberFormat="1" applyBorder="1"/>
    <xf numFmtId="164" fontId="0" fillId="4" borderId="11" xfId="0" applyNumberFormat="1" applyFill="1" applyBorder="1" applyAlignment="1">
      <alignment horizontal="center"/>
    </xf>
    <xf numFmtId="9" fontId="0" fillId="0" borderId="0" xfId="2" applyFont="1" applyFill="1" applyBorder="1"/>
    <xf numFmtId="164" fontId="21" fillId="4" borderId="2" xfId="0" applyNumberFormat="1" applyFont="1" applyFill="1" applyBorder="1"/>
    <xf numFmtId="0" fontId="0" fillId="0" borderId="5" xfId="0" applyBorder="1"/>
    <xf numFmtId="9" fontId="0" fillId="0" borderId="6" xfId="2" applyFont="1" applyFill="1" applyBorder="1"/>
    <xf numFmtId="9" fontId="0" fillId="0" borderId="0" xfId="0" applyNumberFormat="1"/>
    <xf numFmtId="0" fontId="28" fillId="0" borderId="7" xfId="0" applyFont="1" applyBorder="1"/>
    <xf numFmtId="0" fontId="21" fillId="0" borderId="3" xfId="0" applyFont="1" applyBorder="1"/>
    <xf numFmtId="0" fontId="21" fillId="0" borderId="3" xfId="0" applyFont="1" applyBorder="1" applyAlignment="1">
      <alignment horizontal="right"/>
    </xf>
    <xf numFmtId="0" fontId="21" fillId="0" borderId="8" xfId="0" applyFont="1" applyBorder="1"/>
    <xf numFmtId="10" fontId="21" fillId="0" borderId="2" xfId="0" applyNumberFormat="1" applyFont="1" applyBorder="1"/>
    <xf numFmtId="167" fontId="21" fillId="0" borderId="0" xfId="1" applyNumberFormat="1" applyFont="1" applyFill="1" applyBorder="1"/>
    <xf numFmtId="164" fontId="21" fillId="0" borderId="0" xfId="0" quotePrefix="1" applyNumberFormat="1" applyFont="1" applyAlignment="1">
      <alignment horizontal="left"/>
    </xf>
    <xf numFmtId="0" fontId="21" fillId="0" borderId="2" xfId="0" applyFont="1" applyBorder="1"/>
    <xf numFmtId="10" fontId="21" fillId="0" borderId="0" xfId="2" applyNumberFormat="1" applyFont="1" applyFill="1" applyBorder="1"/>
    <xf numFmtId="165" fontId="21" fillId="0" borderId="10" xfId="0" applyNumberFormat="1" applyFont="1" applyBorder="1"/>
    <xf numFmtId="167" fontId="21" fillId="0" borderId="10" xfId="1" applyNumberFormat="1" applyFont="1" applyFill="1" applyBorder="1"/>
    <xf numFmtId="168" fontId="21" fillId="0" borderId="11" xfId="2" applyNumberFormat="1" applyFont="1" applyFill="1" applyBorder="1"/>
    <xf numFmtId="10" fontId="21" fillId="0" borderId="0" xfId="0" applyNumberFormat="1" applyFont="1"/>
    <xf numFmtId="8" fontId="21" fillId="0" borderId="0" xfId="0" applyNumberFormat="1" applyFont="1"/>
    <xf numFmtId="0" fontId="21" fillId="0" borderId="7" xfId="0" applyFont="1" applyBorder="1"/>
    <xf numFmtId="164" fontId="21" fillId="0" borderId="8" xfId="0" applyNumberFormat="1" applyFont="1" applyBorder="1" applyAlignment="1">
      <alignment horizontal="right"/>
    </xf>
    <xf numFmtId="168" fontId="0" fillId="0" borderId="2" xfId="0" applyNumberFormat="1" applyBorder="1"/>
    <xf numFmtId="165" fontId="21" fillId="0" borderId="0" xfId="0" applyNumberFormat="1" applyFont="1"/>
    <xf numFmtId="0" fontId="21" fillId="0" borderId="10" xfId="0" applyFont="1" applyBorder="1"/>
    <xf numFmtId="167" fontId="21" fillId="4" borderId="11" xfId="1" applyNumberFormat="1" applyFont="1" applyFill="1" applyBorder="1"/>
    <xf numFmtId="0" fontId="21" fillId="0" borderId="0" xfId="0" quotePrefix="1" applyFont="1"/>
    <xf numFmtId="8" fontId="21" fillId="0" borderId="0" xfId="0" quotePrefix="1" applyNumberFormat="1" applyFont="1"/>
    <xf numFmtId="8" fontId="0" fillId="0" borderId="8" xfId="0" applyNumberFormat="1" applyBorder="1"/>
    <xf numFmtId="8" fontId="0" fillId="0" borderId="2" xfId="0" applyNumberFormat="1" applyBorder="1"/>
    <xf numFmtId="164" fontId="0" fillId="0" borderId="6" xfId="0" applyNumberFormat="1" applyBorder="1"/>
    <xf numFmtId="165" fontId="0" fillId="0" borderId="4" xfId="0" applyNumberFormat="1" applyBorder="1"/>
    <xf numFmtId="165" fontId="0" fillId="0" borderId="5" xfId="0" applyNumberFormat="1" applyBorder="1"/>
    <xf numFmtId="0" fontId="0" fillId="0" borderId="6" xfId="0" applyBorder="1"/>
    <xf numFmtId="165" fontId="0" fillId="0" borderId="1" xfId="0" applyNumberFormat="1" applyBorder="1"/>
    <xf numFmtId="10" fontId="0" fillId="0" borderId="2" xfId="0" applyNumberFormat="1" applyBorder="1"/>
    <xf numFmtId="164" fontId="0" fillId="4" borderId="0" xfId="0" applyNumberFormat="1" applyFill="1"/>
    <xf numFmtId="0" fontId="0" fillId="4" borderId="10" xfId="0" applyFill="1" applyBorder="1" applyAlignment="1">
      <alignment horizontal="center"/>
    </xf>
    <xf numFmtId="164" fontId="0" fillId="4" borderId="6" xfId="0" applyNumberFormat="1" applyFill="1" applyBorder="1"/>
    <xf numFmtId="0" fontId="0" fillId="0" borderId="8" xfId="0" applyBorder="1" applyAlignment="1">
      <alignment horizontal="right"/>
    </xf>
    <xf numFmtId="167" fontId="0" fillId="0" borderId="0" xfId="1" applyNumberFormat="1" applyFont="1" applyBorder="1"/>
    <xf numFmtId="10" fontId="0" fillId="0" borderId="2" xfId="2" applyNumberFormat="1" applyFont="1" applyFill="1" applyBorder="1"/>
    <xf numFmtId="0" fontId="0" fillId="0" borderId="2" xfId="1" applyNumberFormat="1" applyFont="1" applyFill="1" applyBorder="1"/>
    <xf numFmtId="167" fontId="0" fillId="0" borderId="11" xfId="1" applyNumberFormat="1" applyFont="1" applyFill="1" applyBorder="1"/>
    <xf numFmtId="0" fontId="21" fillId="2" borderId="9" xfId="0" applyFont="1" applyFill="1" applyBorder="1"/>
    <xf numFmtId="0" fontId="22" fillId="2" borderId="10" xfId="0" applyFont="1" applyFill="1" applyBorder="1"/>
    <xf numFmtId="9" fontId="22" fillId="0" borderId="0" xfId="0" applyNumberFormat="1" applyFont="1"/>
    <xf numFmtId="167" fontId="0" fillId="5" borderId="8" xfId="1" applyNumberFormat="1" applyFont="1" applyFill="1" applyBorder="1" applyAlignment="1">
      <alignment horizontal="right"/>
    </xf>
    <xf numFmtId="0" fontId="29" fillId="0" borderId="0" xfId="0" applyFont="1"/>
    <xf numFmtId="167" fontId="0" fillId="5" borderId="2" xfId="1" applyNumberFormat="1" applyFont="1" applyFill="1" applyBorder="1" applyAlignment="1">
      <alignment horizontal="right"/>
    </xf>
    <xf numFmtId="10" fontId="0" fillId="5" borderId="2" xfId="2" quotePrefix="1" applyNumberFormat="1" applyFont="1" applyFill="1" applyBorder="1"/>
    <xf numFmtId="2" fontId="0" fillId="5" borderId="2" xfId="2" quotePrefix="1" applyNumberFormat="1" applyFont="1" applyFill="1" applyBorder="1"/>
    <xf numFmtId="2" fontId="0" fillId="0" borderId="0" xfId="0" quotePrefix="1" applyNumberFormat="1"/>
    <xf numFmtId="167" fontId="21" fillId="5" borderId="11" xfId="1" applyNumberFormat="1" applyFont="1" applyFill="1" applyBorder="1"/>
    <xf numFmtId="0" fontId="0" fillId="0" borderId="0" xfId="1" applyNumberFormat="1" applyFont="1" applyFill="1" applyBorder="1"/>
    <xf numFmtId="10" fontId="0" fillId="0" borderId="0" xfId="2" quotePrefix="1" applyNumberFormat="1" applyFont="1" applyFill="1" applyBorder="1"/>
    <xf numFmtId="10" fontId="0" fillId="0" borderId="0" xfId="2" applyNumberFormat="1" applyFont="1" applyFill="1" applyBorder="1"/>
    <xf numFmtId="0" fontId="0" fillId="0" borderId="8" xfId="0" applyBorder="1" applyAlignment="1">
      <alignment horizontal="center"/>
    </xf>
    <xf numFmtId="165" fontId="0" fillId="0" borderId="3" xfId="0" applyNumberFormat="1" applyBorder="1"/>
    <xf numFmtId="165" fontId="0" fillId="0" borderId="2" xfId="0" applyNumberFormat="1" applyBorder="1"/>
    <xf numFmtId="0" fontId="0" fillId="0" borderId="2" xfId="0" quotePrefix="1" applyBorder="1"/>
    <xf numFmtId="165" fontId="0" fillId="4" borderId="2" xfId="0" applyNumberFormat="1" applyFill="1" applyBorder="1"/>
    <xf numFmtId="0" fontId="0" fillId="0" borderId="7" xfId="0" applyBorder="1" applyAlignment="1">
      <alignment horizontal="center"/>
    </xf>
    <xf numFmtId="165" fontId="0" fillId="0" borderId="3" xfId="0" applyNumberFormat="1" applyBorder="1" applyAlignment="1">
      <alignment horizontal="center"/>
    </xf>
    <xf numFmtId="0" fontId="0" fillId="0" borderId="8" xfId="0" applyBorder="1" applyAlignment="1">
      <alignment horizontal="center" wrapText="1"/>
    </xf>
    <xf numFmtId="164" fontId="0" fillId="0" borderId="8" xfId="0" applyNumberFormat="1" applyBorder="1"/>
    <xf numFmtId="10" fontId="0" fillId="0" borderId="11" xfId="0" applyNumberFormat="1" applyBorder="1"/>
    <xf numFmtId="0" fontId="31" fillId="0" borderId="0" xfId="0" applyFont="1"/>
    <xf numFmtId="10" fontId="0" fillId="4" borderId="6" xfId="0" applyNumberFormat="1" applyFill="1" applyBorder="1" applyAlignment="1">
      <alignment horizontal="center"/>
    </xf>
    <xf numFmtId="165" fontId="0" fillId="0" borderId="0" xfId="0" quotePrefix="1" applyNumberFormat="1" applyAlignment="1">
      <alignment horizontal="left"/>
    </xf>
    <xf numFmtId="0" fontId="21" fillId="0" borderId="0" xfId="0" applyFont="1" applyAlignment="1">
      <alignment horizontal="right"/>
    </xf>
    <xf numFmtId="168" fontId="21" fillId="0" borderId="0" xfId="2" applyNumberFormat="1" applyFont="1" applyFill="1" applyBorder="1"/>
    <xf numFmtId="164" fontId="21" fillId="0" borderId="0" xfId="0" applyNumberFormat="1" applyFont="1" applyAlignment="1">
      <alignment horizontal="right"/>
    </xf>
    <xf numFmtId="168" fontId="0" fillId="0" borderId="0" xfId="0" applyNumberFormat="1"/>
    <xf numFmtId="0" fontId="21" fillId="0" borderId="11" xfId="0" applyFont="1" applyBorder="1"/>
    <xf numFmtId="0" fontId="28" fillId="0" borderId="3" xfId="0" applyFont="1" applyBorder="1"/>
    <xf numFmtId="0" fontId="11" fillId="0" borderId="0" xfId="0" applyFont="1" applyAlignment="1">
      <alignment horizontal="left"/>
    </xf>
    <xf numFmtId="167" fontId="21" fillId="0" borderId="0" xfId="1" quotePrefix="1" applyNumberFormat="1" applyFont="1" applyFill="1" applyBorder="1" applyAlignment="1"/>
    <xf numFmtId="165" fontId="0" fillId="4" borderId="5" xfId="0" applyNumberFormat="1" applyFill="1" applyBorder="1" applyAlignment="1">
      <alignment horizontal="center"/>
    </xf>
    <xf numFmtId="0" fontId="0" fillId="4" borderId="5" xfId="0" applyFill="1" applyBorder="1" applyAlignment="1">
      <alignment horizontal="center"/>
    </xf>
    <xf numFmtId="10" fontId="0" fillId="0" borderId="6" xfId="0" applyNumberFormat="1" applyBorder="1"/>
    <xf numFmtId="9" fontId="0" fillId="2" borderId="0" xfId="0" applyNumberFormat="1" applyFill="1"/>
    <xf numFmtId="165" fontId="0" fillId="0" borderId="5" xfId="0" applyNumberFormat="1" applyBorder="1" applyAlignment="1">
      <alignment horizontal="center"/>
    </xf>
    <xf numFmtId="9" fontId="0" fillId="0" borderId="8" xfId="2" applyFont="1" applyBorder="1"/>
    <xf numFmtId="0" fontId="21" fillId="0" borderId="10" xfId="0" applyFont="1" applyBorder="1" applyAlignment="1">
      <alignment horizontal="right"/>
    </xf>
    <xf numFmtId="164" fontId="21" fillId="5" borderId="0" xfId="1" applyNumberFormat="1" applyFont="1" applyFill="1" applyBorder="1"/>
    <xf numFmtId="164" fontId="21" fillId="0" borderId="11" xfId="0" applyNumberFormat="1" applyFont="1" applyBorder="1"/>
    <xf numFmtId="0" fontId="0" fillId="0" borderId="3" xfId="0" applyBorder="1" applyAlignment="1">
      <alignment horizontal="center" wrapText="1"/>
    </xf>
    <xf numFmtId="10" fontId="0" fillId="0" borderId="10" xfId="2" applyNumberFormat="1" applyFont="1" applyBorder="1"/>
    <xf numFmtId="164" fontId="0" fillId="4" borderId="2" xfId="0" applyNumberFormat="1" applyFill="1" applyBorder="1"/>
    <xf numFmtId="164" fontId="0" fillId="4" borderId="10" xfId="0" applyNumberFormat="1" applyFill="1" applyBorder="1"/>
    <xf numFmtId="164" fontId="0" fillId="4" borderId="11" xfId="0" applyNumberFormat="1" applyFill="1" applyBorder="1"/>
    <xf numFmtId="0" fontId="32" fillId="0" borderId="0" xfId="0" applyFont="1"/>
    <xf numFmtId="8" fontId="0" fillId="0" borderId="6" xfId="0" applyNumberFormat="1" applyBorder="1"/>
    <xf numFmtId="165" fontId="0" fillId="0" borderId="8" xfId="0" applyNumberFormat="1" applyBorder="1"/>
    <xf numFmtId="8" fontId="0" fillId="4" borderId="2" xfId="0" applyNumberFormat="1" applyFill="1" applyBorder="1"/>
    <xf numFmtId="0" fontId="21" fillId="0" borderId="8" xfId="0" applyFont="1" applyBorder="1" applyAlignment="1">
      <alignment horizontal="left"/>
    </xf>
    <xf numFmtId="164" fontId="21" fillId="0" borderId="0" xfId="1" applyNumberFormat="1" applyFont="1" applyFill="1" applyBorder="1"/>
    <xf numFmtId="0" fontId="21" fillId="0" borderId="2" xfId="1" applyNumberFormat="1" applyFont="1" applyFill="1" applyBorder="1" applyAlignment="1">
      <alignment horizontal="center"/>
    </xf>
    <xf numFmtId="9" fontId="21" fillId="0" borderId="8" xfId="2" applyFont="1" applyFill="1" applyBorder="1"/>
    <xf numFmtId="164" fontId="21" fillId="0" borderId="1" xfId="0" applyNumberFormat="1" applyFont="1" applyBorder="1"/>
    <xf numFmtId="164" fontId="21" fillId="0" borderId="9" xfId="0" applyNumberFormat="1" applyFont="1" applyBorder="1"/>
    <xf numFmtId="167" fontId="21" fillId="0" borderId="11" xfId="1" quotePrefix="1" applyNumberFormat="1" applyFont="1" applyFill="1" applyBorder="1"/>
    <xf numFmtId="164" fontId="21" fillId="0" borderId="7" xfId="0" applyNumberFormat="1" applyFont="1" applyBorder="1"/>
    <xf numFmtId="167" fontId="0" fillId="0" borderId="2" xfId="0" quotePrefix="1" applyNumberFormat="1" applyBorder="1"/>
    <xf numFmtId="6" fontId="0" fillId="4" borderId="11" xfId="0" applyNumberFormat="1" applyFill="1" applyBorder="1"/>
    <xf numFmtId="165" fontId="0" fillId="0" borderId="0" xfId="0" quotePrefix="1" applyNumberFormat="1"/>
    <xf numFmtId="0" fontId="0" fillId="0" borderId="2" xfId="0" applyBorder="1" applyAlignment="1">
      <alignment horizontal="center"/>
    </xf>
    <xf numFmtId="0" fontId="21" fillId="0" borderId="3" xfId="0" applyFont="1" applyBorder="1" applyAlignment="1">
      <alignment horizontal="left"/>
    </xf>
    <xf numFmtId="167" fontId="21" fillId="0" borderId="0" xfId="1" quotePrefix="1" applyNumberFormat="1" applyFont="1" applyFill="1" applyBorder="1"/>
    <xf numFmtId="165" fontId="0" fillId="0" borderId="7" xfId="0" applyNumberFormat="1" applyBorder="1"/>
    <xf numFmtId="10" fontId="0" fillId="0" borderId="8" xfId="0" applyNumberFormat="1" applyBorder="1"/>
    <xf numFmtId="165" fontId="0" fillId="0" borderId="9" xfId="0" applyNumberFormat="1" applyBorder="1"/>
    <xf numFmtId="0" fontId="0" fillId="5" borderId="8" xfId="0" applyFill="1" applyBorder="1" applyAlignment="1">
      <alignment horizontal="right"/>
    </xf>
    <xf numFmtId="10" fontId="0" fillId="5" borderId="2" xfId="0" applyNumberFormat="1" applyFill="1" applyBorder="1"/>
    <xf numFmtId="0" fontId="0" fillId="5" borderId="2" xfId="0" applyFill="1" applyBorder="1"/>
    <xf numFmtId="164" fontId="0" fillId="5" borderId="11" xfId="0" applyNumberFormat="1" applyFill="1" applyBorder="1"/>
    <xf numFmtId="0" fontId="21" fillId="0" borderId="0" xfId="0" applyFont="1" applyAlignment="1">
      <alignment horizontal="left"/>
    </xf>
    <xf numFmtId="0" fontId="21" fillId="0" borderId="9" xfId="1" applyNumberFormat="1" applyFont="1" applyFill="1" applyBorder="1" applyAlignment="1"/>
    <xf numFmtId="164" fontId="21" fillId="0" borderId="10" xfId="1" applyNumberFormat="1" applyFont="1" applyFill="1" applyBorder="1" applyAlignment="1"/>
    <xf numFmtId="164" fontId="21" fillId="0" borderId="11" xfId="1" applyNumberFormat="1" applyFont="1" applyFill="1" applyBorder="1" applyAlignment="1"/>
    <xf numFmtId="167" fontId="21" fillId="0" borderId="4" xfId="1" applyNumberFormat="1" applyFont="1" applyFill="1" applyBorder="1" applyAlignment="1"/>
    <xf numFmtId="9" fontId="21" fillId="0" borderId="6" xfId="0" applyNumberFormat="1" applyFont="1" applyBorder="1"/>
    <xf numFmtId="0" fontId="11" fillId="0" borderId="7" xfId="0" applyFont="1" applyBorder="1"/>
    <xf numFmtId="0" fontId="24" fillId="0" borderId="3" xfId="0" applyFont="1" applyBorder="1"/>
    <xf numFmtId="0" fontId="24" fillId="0" borderId="3" xfId="0" applyFont="1" applyBorder="1" applyAlignment="1">
      <alignment horizontal="left"/>
    </xf>
    <xf numFmtId="165" fontId="0" fillId="0" borderId="0" xfId="0" quotePrefix="1" applyNumberFormat="1" applyAlignment="1">
      <alignment horizontal="center"/>
    </xf>
    <xf numFmtId="0" fontId="0" fillId="0" borderId="1" xfId="0" applyBorder="1" applyAlignment="1">
      <alignment horizontal="center" wrapText="1"/>
    </xf>
    <xf numFmtId="164" fontId="21" fillId="0" borderId="9" xfId="0" applyNumberFormat="1" applyFont="1" applyBorder="1" applyAlignment="1">
      <alignment horizontal="center"/>
    </xf>
    <xf numFmtId="0" fontId="21" fillId="0" borderId="11" xfId="0" applyFont="1" applyBorder="1" applyAlignment="1">
      <alignment horizontal="center"/>
    </xf>
    <xf numFmtId="7" fontId="0" fillId="0" borderId="0" xfId="0" applyNumberFormat="1"/>
    <xf numFmtId="167" fontId="21" fillId="0" borderId="1" xfId="1" quotePrefix="1" applyNumberFormat="1" applyFont="1" applyFill="1" applyBorder="1" applyAlignment="1">
      <alignment horizontal="left"/>
    </xf>
    <xf numFmtId="10" fontId="21" fillId="4" borderId="2" xfId="0" applyNumberFormat="1" applyFont="1" applyFill="1" applyBorder="1"/>
    <xf numFmtId="0" fontId="34" fillId="0" borderId="9" xfId="0" applyFont="1" applyBorder="1"/>
    <xf numFmtId="7" fontId="0" fillId="0" borderId="10" xfId="0" applyNumberFormat="1" applyBorder="1"/>
    <xf numFmtId="167" fontId="21" fillId="0" borderId="1" xfId="1" applyNumberFormat="1" applyFont="1" applyFill="1" applyBorder="1"/>
    <xf numFmtId="10" fontId="21" fillId="4" borderId="2" xfId="2" applyNumberFormat="1" applyFont="1" applyFill="1" applyBorder="1"/>
    <xf numFmtId="0" fontId="24" fillId="0" borderId="7" xfId="0" applyFont="1" applyBorder="1"/>
    <xf numFmtId="164" fontId="21" fillId="0" borderId="3" xfId="0" applyNumberFormat="1" applyFont="1" applyBorder="1"/>
    <xf numFmtId="10" fontId="21" fillId="0" borderId="8" xfId="0" applyNumberFormat="1" applyFont="1" applyBorder="1"/>
    <xf numFmtId="167" fontId="21" fillId="0" borderId="9" xfId="1" applyNumberFormat="1" applyFont="1" applyFill="1" applyBorder="1"/>
    <xf numFmtId="10" fontId="21" fillId="4" borderId="11" xfId="2" applyNumberFormat="1" applyFont="1" applyFill="1" applyBorder="1"/>
    <xf numFmtId="164" fontId="21" fillId="0" borderId="10" xfId="0" applyNumberFormat="1" applyFont="1" applyBorder="1"/>
    <xf numFmtId="167" fontId="0" fillId="0" borderId="0" xfId="0" applyNumberFormat="1"/>
    <xf numFmtId="167" fontId="0" fillId="0" borderId="2" xfId="0" applyNumberFormat="1" applyBorder="1"/>
    <xf numFmtId="167" fontId="0" fillId="0" borderId="2" xfId="1" applyNumberFormat="1" applyFont="1" applyBorder="1"/>
    <xf numFmtId="0" fontId="21" fillId="0" borderId="1" xfId="0" applyFont="1" applyBorder="1" applyAlignment="1">
      <alignment horizontal="center"/>
    </xf>
    <xf numFmtId="0" fontId="21" fillId="0" borderId="2" xfId="0" applyFont="1" applyBorder="1" applyAlignment="1">
      <alignment horizontal="center"/>
    </xf>
    <xf numFmtId="0" fontId="21" fillId="4" borderId="9" xfId="0" applyFont="1" applyFill="1" applyBorder="1" applyAlignment="1">
      <alignment horizontal="center"/>
    </xf>
    <xf numFmtId="0" fontId="21" fillId="4" borderId="11" xfId="0" applyFont="1" applyFill="1" applyBorder="1" applyAlignment="1">
      <alignment horizontal="center"/>
    </xf>
    <xf numFmtId="167" fontId="21" fillId="0" borderId="0" xfId="2" applyNumberFormat="1" applyFont="1" applyFill="1" applyBorder="1"/>
    <xf numFmtId="167" fontId="21" fillId="0" borderId="10" xfId="2" applyNumberFormat="1" applyFont="1" applyFill="1" applyBorder="1"/>
    <xf numFmtId="167" fontId="0" fillId="0" borderId="11" xfId="0" applyNumberFormat="1" applyBorder="1"/>
    <xf numFmtId="0" fontId="0" fillId="4" borderId="0" xfId="0" applyFill="1"/>
    <xf numFmtId="10" fontId="0" fillId="4" borderId="10" xfId="0" applyNumberFormat="1" applyFill="1" applyBorder="1"/>
    <xf numFmtId="0" fontId="35" fillId="0" borderId="0" xfId="0" applyFont="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1.xml"/><Relationship Id="rId21" Type="http://schemas.openxmlformats.org/officeDocument/2006/relationships/worksheet" Target="worksheets/sheet21.xml"/><Relationship Id="rId34" Type="http://schemas.openxmlformats.org/officeDocument/2006/relationships/externalLink" Target="externalLinks/externalLink6.xml"/><Relationship Id="rId42" Type="http://schemas.openxmlformats.org/officeDocument/2006/relationships/externalLink" Target="externalLinks/externalLink14.xml"/><Relationship Id="rId47" Type="http://schemas.openxmlformats.org/officeDocument/2006/relationships/externalLink" Target="externalLinks/externalLink19.xml"/><Relationship Id="rId50" Type="http://schemas.openxmlformats.org/officeDocument/2006/relationships/externalLink" Target="externalLinks/externalLink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externalLink" Target="externalLinks/externalLink12.xml"/><Relationship Id="rId45" Type="http://schemas.openxmlformats.org/officeDocument/2006/relationships/externalLink" Target="externalLinks/externalLink17.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4" Type="http://schemas.openxmlformats.org/officeDocument/2006/relationships/externalLink" Target="externalLinks/externalLink16.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 Id="rId43" Type="http://schemas.openxmlformats.org/officeDocument/2006/relationships/externalLink" Target="externalLinks/externalLink15.xml"/><Relationship Id="rId48" Type="http://schemas.openxmlformats.org/officeDocument/2006/relationships/externalLink" Target="externalLinks/externalLink20.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externalLink" Target="externalLinks/externalLink10.xml"/><Relationship Id="rId46" Type="http://schemas.openxmlformats.org/officeDocument/2006/relationships/externalLink" Target="externalLinks/externalLink18.xml"/><Relationship Id="rId20" Type="http://schemas.openxmlformats.org/officeDocument/2006/relationships/worksheet" Target="worksheets/sheet20.xml"/><Relationship Id="rId41" Type="http://schemas.openxmlformats.org/officeDocument/2006/relationships/externalLink" Target="externalLinks/externalLink13.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49" Type="http://schemas.openxmlformats.org/officeDocument/2006/relationships/externalLink" Target="externalLinks/externalLink21.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266700</xdr:colOff>
          <xdr:row>16</xdr:row>
          <xdr:rowOff>0</xdr:rowOff>
        </xdr:from>
        <xdr:to>
          <xdr:col>8</xdr:col>
          <xdr:colOff>411480</xdr:colOff>
          <xdr:row>17</xdr:row>
          <xdr:rowOff>38100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21F056C6-649B-4B65-9071-7FEC93A3177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182880</xdr:colOff>
          <xdr:row>17</xdr:row>
          <xdr:rowOff>0</xdr:rowOff>
        </xdr:from>
        <xdr:to>
          <xdr:col>8</xdr:col>
          <xdr:colOff>457200</xdr:colOff>
          <xdr:row>18</xdr:row>
          <xdr:rowOff>38100</xdr:rowOff>
        </xdr:to>
        <xdr:sp macro="" textlink="">
          <xdr:nvSpPr>
            <xdr:cNvPr id="1026" name="Object 2" hidden="1">
              <a:extLst>
                <a:ext uri="{63B3BB69-23CF-44E3-9099-C40C66FF867C}">
                  <a14:compatExt spid="_x0000_s1026"/>
                </a:ext>
                <a:ext uri="{FF2B5EF4-FFF2-40B4-BE49-F238E27FC236}">
                  <a16:creationId xmlns:a16="http://schemas.microsoft.com/office/drawing/2014/main" id="{1A557D14-5AB3-4FE0-A01D-5E71E7AE440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411480</xdr:colOff>
          <xdr:row>18</xdr:row>
          <xdr:rowOff>30480</xdr:rowOff>
        </xdr:from>
        <xdr:to>
          <xdr:col>8</xdr:col>
          <xdr:colOff>182880</xdr:colOff>
          <xdr:row>19</xdr:row>
          <xdr:rowOff>0</xdr:rowOff>
        </xdr:to>
        <xdr:sp macro="" textlink="">
          <xdr:nvSpPr>
            <xdr:cNvPr id="1027" name="Object 3" hidden="1">
              <a:extLst>
                <a:ext uri="{63B3BB69-23CF-44E3-9099-C40C66FF867C}">
                  <a14:compatExt spid="_x0000_s1027"/>
                </a:ext>
                <a:ext uri="{FF2B5EF4-FFF2-40B4-BE49-F238E27FC236}">
                  <a16:creationId xmlns:a16="http://schemas.microsoft.com/office/drawing/2014/main" id="{EBBDBC84-9B94-40EE-ADEA-6BDB236212C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259080</xdr:colOff>
          <xdr:row>19</xdr:row>
          <xdr:rowOff>0</xdr:rowOff>
        </xdr:from>
        <xdr:to>
          <xdr:col>8</xdr:col>
          <xdr:colOff>373380</xdr:colOff>
          <xdr:row>20</xdr:row>
          <xdr:rowOff>15240</xdr:rowOff>
        </xdr:to>
        <xdr:sp macro="" textlink="">
          <xdr:nvSpPr>
            <xdr:cNvPr id="1028" name="Object 4" hidden="1">
              <a:extLst>
                <a:ext uri="{63B3BB69-23CF-44E3-9099-C40C66FF867C}">
                  <a14:compatExt spid="_x0000_s1028"/>
                </a:ext>
                <a:ext uri="{FF2B5EF4-FFF2-40B4-BE49-F238E27FC236}">
                  <a16:creationId xmlns:a16="http://schemas.microsoft.com/office/drawing/2014/main" id="{60677645-81E0-4B0D-B5E1-23D31C3487B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594360</xdr:colOff>
          <xdr:row>20</xdr:row>
          <xdr:rowOff>0</xdr:rowOff>
        </xdr:from>
        <xdr:to>
          <xdr:col>9</xdr:col>
          <xdr:colOff>38100</xdr:colOff>
          <xdr:row>21</xdr:row>
          <xdr:rowOff>7620</xdr:rowOff>
        </xdr:to>
        <xdr:sp macro="" textlink="">
          <xdr:nvSpPr>
            <xdr:cNvPr id="1029" name="Object 5" hidden="1">
              <a:extLst>
                <a:ext uri="{63B3BB69-23CF-44E3-9099-C40C66FF867C}">
                  <a14:compatExt spid="_x0000_s1029"/>
                </a:ext>
                <a:ext uri="{FF2B5EF4-FFF2-40B4-BE49-F238E27FC236}">
                  <a16:creationId xmlns:a16="http://schemas.microsoft.com/office/drawing/2014/main" id="{33E2F597-C284-4DE7-B2AA-4E8F5F2A3BE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144780</xdr:colOff>
          <xdr:row>21</xdr:row>
          <xdr:rowOff>7620</xdr:rowOff>
        </xdr:from>
        <xdr:to>
          <xdr:col>8</xdr:col>
          <xdr:colOff>480060</xdr:colOff>
          <xdr:row>22</xdr:row>
          <xdr:rowOff>7620</xdr:rowOff>
        </xdr:to>
        <xdr:sp macro="" textlink="">
          <xdr:nvSpPr>
            <xdr:cNvPr id="1030" name="Object 6" hidden="1">
              <a:extLst>
                <a:ext uri="{63B3BB69-23CF-44E3-9099-C40C66FF867C}">
                  <a14:compatExt spid="_x0000_s1030"/>
                </a:ext>
                <a:ext uri="{FF2B5EF4-FFF2-40B4-BE49-F238E27FC236}">
                  <a16:creationId xmlns:a16="http://schemas.microsoft.com/office/drawing/2014/main" id="{337279E7-35B4-4407-967B-E5F6405A193A}"/>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236220</xdr:colOff>
          <xdr:row>22</xdr:row>
          <xdr:rowOff>0</xdr:rowOff>
        </xdr:from>
        <xdr:to>
          <xdr:col>8</xdr:col>
          <xdr:colOff>388620</xdr:colOff>
          <xdr:row>23</xdr:row>
          <xdr:rowOff>0</xdr:rowOff>
        </xdr:to>
        <xdr:sp macro="" textlink="">
          <xdr:nvSpPr>
            <xdr:cNvPr id="1031" name="Object 7" hidden="1">
              <a:extLst>
                <a:ext uri="{63B3BB69-23CF-44E3-9099-C40C66FF867C}">
                  <a14:compatExt spid="_x0000_s1031"/>
                </a:ext>
                <a:ext uri="{FF2B5EF4-FFF2-40B4-BE49-F238E27FC236}">
                  <a16:creationId xmlns:a16="http://schemas.microsoft.com/office/drawing/2014/main" id="{3F174B85-8145-4952-8E40-98C9AABFAA0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12</xdr:row>
          <xdr:rowOff>0</xdr:rowOff>
        </xdr:from>
        <xdr:to>
          <xdr:col>17</xdr:col>
          <xdr:colOff>464820</xdr:colOff>
          <xdr:row>14</xdr:row>
          <xdr:rowOff>30480</xdr:rowOff>
        </xdr:to>
        <xdr:sp macro="" textlink="">
          <xdr:nvSpPr>
            <xdr:cNvPr id="1032" name="Object 8" hidden="1">
              <a:extLst>
                <a:ext uri="{63B3BB69-23CF-44E3-9099-C40C66FF867C}">
                  <a14:compatExt spid="_x0000_s1032"/>
                </a:ext>
                <a:ext uri="{FF2B5EF4-FFF2-40B4-BE49-F238E27FC236}">
                  <a16:creationId xmlns:a16="http://schemas.microsoft.com/office/drawing/2014/main" id="{C0E58B90-AAD5-41E3-AE21-DD402DB862C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18</xdr:row>
          <xdr:rowOff>0</xdr:rowOff>
        </xdr:from>
        <xdr:to>
          <xdr:col>18</xdr:col>
          <xdr:colOff>0</xdr:colOff>
          <xdr:row>19</xdr:row>
          <xdr:rowOff>7620</xdr:rowOff>
        </xdr:to>
        <xdr:sp macro="" textlink="">
          <xdr:nvSpPr>
            <xdr:cNvPr id="1033" name="Object 9" hidden="1">
              <a:extLst>
                <a:ext uri="{63B3BB69-23CF-44E3-9099-C40C66FF867C}">
                  <a14:compatExt spid="_x0000_s1033"/>
                </a:ext>
                <a:ext uri="{FF2B5EF4-FFF2-40B4-BE49-F238E27FC236}">
                  <a16:creationId xmlns:a16="http://schemas.microsoft.com/office/drawing/2014/main" id="{8901DF1D-5DF2-4EB9-92E8-88886E3D4EF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xdr:colOff>
          <xdr:row>19</xdr:row>
          <xdr:rowOff>0</xdr:rowOff>
        </xdr:from>
        <xdr:to>
          <xdr:col>17</xdr:col>
          <xdr:colOff>594360</xdr:colOff>
          <xdr:row>20</xdr:row>
          <xdr:rowOff>7620</xdr:rowOff>
        </xdr:to>
        <xdr:sp macro="" textlink="">
          <xdr:nvSpPr>
            <xdr:cNvPr id="1034" name="Object 10" hidden="1">
              <a:extLst>
                <a:ext uri="{63B3BB69-23CF-44E3-9099-C40C66FF867C}">
                  <a14:compatExt spid="_x0000_s1034"/>
                </a:ext>
                <a:ext uri="{FF2B5EF4-FFF2-40B4-BE49-F238E27FC236}">
                  <a16:creationId xmlns:a16="http://schemas.microsoft.com/office/drawing/2014/main" id="{8DC62132-32C9-4B52-A7CC-6CF3B36449CE}"/>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xdr:colOff>
          <xdr:row>20</xdr:row>
          <xdr:rowOff>0</xdr:rowOff>
        </xdr:from>
        <xdr:to>
          <xdr:col>18</xdr:col>
          <xdr:colOff>0</xdr:colOff>
          <xdr:row>21</xdr:row>
          <xdr:rowOff>30480</xdr:rowOff>
        </xdr:to>
        <xdr:sp macro="" textlink="">
          <xdr:nvSpPr>
            <xdr:cNvPr id="1035" name="Object 11" hidden="1">
              <a:extLst>
                <a:ext uri="{63B3BB69-23CF-44E3-9099-C40C66FF867C}">
                  <a14:compatExt spid="_x0000_s1035"/>
                </a:ext>
                <a:ext uri="{FF2B5EF4-FFF2-40B4-BE49-F238E27FC236}">
                  <a16:creationId xmlns:a16="http://schemas.microsoft.com/office/drawing/2014/main" id="{E2A24484-5AB1-4866-A207-5B3AAFE5B6D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21</xdr:row>
          <xdr:rowOff>0</xdr:rowOff>
        </xdr:from>
        <xdr:to>
          <xdr:col>18</xdr:col>
          <xdr:colOff>0</xdr:colOff>
          <xdr:row>22</xdr:row>
          <xdr:rowOff>45720</xdr:rowOff>
        </xdr:to>
        <xdr:sp macro="" textlink="">
          <xdr:nvSpPr>
            <xdr:cNvPr id="1036" name="Object 12" hidden="1">
              <a:extLst>
                <a:ext uri="{63B3BB69-23CF-44E3-9099-C40C66FF867C}">
                  <a14:compatExt spid="_x0000_s1036"/>
                </a:ext>
                <a:ext uri="{FF2B5EF4-FFF2-40B4-BE49-F238E27FC236}">
                  <a16:creationId xmlns:a16="http://schemas.microsoft.com/office/drawing/2014/main" id="{A99D51F5-5F03-4B35-ADED-7F0B2FBA2B9B}"/>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preadsheets\deepAfterTax1.xls" TargetMode="External"/><Relationship Id="rId1" Type="http://schemas.openxmlformats.org/officeDocument/2006/relationships/externalLinkPath" Target="file:///D:\Spreadsheets\deepAfterTax1.xls" TargetMode="External"/></Relationships>
</file>

<file path=xl/externalLinks/_rels/externalLink10.xml.rels><?xml version="1.0" encoding="UTF-8" standalone="yes"?>
<Relationships xmlns="http://schemas.openxmlformats.org/package/2006/relationships"><Relationship Id="rId2" Type="http://schemas.openxmlformats.org/officeDocument/2006/relationships/externalLinkPath" Target="file:///D:\Spreadsheets\deepInterest.xls" TargetMode="External"/><Relationship Id="rId1" Type="http://schemas.openxmlformats.org/officeDocument/2006/relationships/externalLinkPath" Target="file:///D:\Spreadsheets\deepInterest.xls" TargetMode="External"/></Relationships>
</file>

<file path=xl/externalLinks/_rels/externalLink11.xml.rels><?xml version="1.0" encoding="UTF-8" standalone="yes"?>
<Relationships xmlns="http://schemas.openxmlformats.org/package/2006/relationships"><Relationship Id="rId2" Type="http://schemas.openxmlformats.org/officeDocument/2006/relationships/externalLinkPath" Target="file:///D:\Spreadsheets\deepIRR1Alt.xls" TargetMode="External"/><Relationship Id="rId1" Type="http://schemas.openxmlformats.org/officeDocument/2006/relationships/externalLinkPath" Target="file:///D:\Spreadsheets\deepIRR1Alt.xls" TargetMode="External"/></Relationships>
</file>

<file path=xl/externalLinks/_rels/externalLink12.xml.rels><?xml version="1.0" encoding="UTF-8" standalone="yes"?>
<Relationships xmlns="http://schemas.openxmlformats.org/package/2006/relationships"><Relationship Id="rId2" Type="http://schemas.openxmlformats.org/officeDocument/2006/relationships/externalLinkPath" Target="file:///D:\Spreadsheets\deepIRR2Alt.xls" TargetMode="External"/><Relationship Id="rId1" Type="http://schemas.openxmlformats.org/officeDocument/2006/relationships/externalLinkPath" Target="file:///D:\Spreadsheets\deepIRR2Alt.xls" TargetMode="External"/></Relationships>
</file>

<file path=xl/externalLinks/_rels/externalLink13.xml.rels><?xml version="1.0" encoding="UTF-8" standalone="yes"?>
<Relationships xmlns="http://schemas.openxmlformats.org/package/2006/relationships"><Relationship Id="rId2" Type="http://schemas.openxmlformats.org/officeDocument/2006/relationships/externalLinkPath" Target="file:///D:\Spreadsheets\deepIRR4Alt.xls" TargetMode="External"/><Relationship Id="rId1" Type="http://schemas.openxmlformats.org/officeDocument/2006/relationships/externalLinkPath" Target="file:///D:\Spreadsheets\deepIRR4Alt.xls" TargetMode="External"/></Relationships>
</file>

<file path=xl/externalLinks/_rels/externalLink14.xml.rels><?xml version="1.0" encoding="UTF-8" standalone="yes"?>
<Relationships xmlns="http://schemas.openxmlformats.org/package/2006/relationships"><Relationship Id="rId2" Type="http://schemas.openxmlformats.org/officeDocument/2006/relationships/externalLinkPath" Target="file:///D:\Spreadsheets\deepMACRS.xls" TargetMode="External"/><Relationship Id="rId1" Type="http://schemas.openxmlformats.org/officeDocument/2006/relationships/externalLinkPath" Target="file:///D:\Spreadsheets\deepMACRS.xls" TargetMode="External"/></Relationships>
</file>

<file path=xl/externalLinks/_rels/externalLink15.xml.rels><?xml version="1.0" encoding="UTF-8" standalone="yes"?>
<Relationships xmlns="http://schemas.openxmlformats.org/package/2006/relationships"><Relationship Id="rId2" Type="http://schemas.openxmlformats.org/officeDocument/2006/relationships/externalLinkPath" Target="file:///D:\Spreadsheets\deepMultistep1.xls" TargetMode="External"/><Relationship Id="rId1" Type="http://schemas.openxmlformats.org/officeDocument/2006/relationships/externalLinkPath" Target="file:///D:\Spreadsheets\deepMultistep1.xls" TargetMode="External"/></Relationships>
</file>

<file path=xl/externalLinks/_rels/externalLink16.xml.rels><?xml version="1.0" encoding="UTF-8" standalone="yes"?>
<Relationships xmlns="http://schemas.openxmlformats.org/package/2006/relationships"><Relationship Id="rId2" Type="http://schemas.openxmlformats.org/officeDocument/2006/relationships/externalLinkPath" Target="file:///D:\Spreadsheets\deepMultistep2.xls" TargetMode="External"/><Relationship Id="rId1" Type="http://schemas.openxmlformats.org/officeDocument/2006/relationships/externalLinkPath" Target="file:///D:\Spreadsheets\deepMultistep2.xls" TargetMode="External"/></Relationships>
</file>

<file path=xl/externalLinks/_rels/externalLink17.xml.rels><?xml version="1.0" encoding="UTF-8" standalone="yes"?>
<Relationships xmlns="http://schemas.openxmlformats.org/package/2006/relationships"><Relationship Id="rId2" Type="http://schemas.openxmlformats.org/officeDocument/2006/relationships/externalLinkPath" Target="file:///D:\Spreadsheets\deepNPVfunction.xls" TargetMode="External"/><Relationship Id="rId1" Type="http://schemas.openxmlformats.org/officeDocument/2006/relationships/externalLinkPath" Target="file:///D:\Spreadsheets\deepNPVfunction.xls" TargetMode="External"/></Relationships>
</file>

<file path=xl/externalLinks/_rels/externalLink18.xml.rels><?xml version="1.0" encoding="UTF-8" standalone="yes"?>
<Relationships xmlns="http://schemas.openxmlformats.org/package/2006/relationships"><Relationship Id="rId2" Type="http://schemas.openxmlformats.org/officeDocument/2006/relationships/externalLinkPath" Target="file:///D:\Spreadsheets\deepPVfunction.xls" TargetMode="External"/><Relationship Id="rId1" Type="http://schemas.openxmlformats.org/officeDocument/2006/relationships/externalLinkPath" Target="file:///D:\Spreadsheets\deepPVfunction.xls" TargetMode="External"/></Relationships>
</file>

<file path=xl/externalLinks/_rels/externalLink19.xml.rels><?xml version="1.0" encoding="UTF-8" standalone="yes"?>
<Relationships xmlns="http://schemas.openxmlformats.org/package/2006/relationships"><Relationship Id="rId2" Type="http://schemas.openxmlformats.org/officeDocument/2006/relationships/externalLinkPath" Target="file:///D:\Spreadsheets\deepPWEqual.xls" TargetMode="External"/><Relationship Id="rId1" Type="http://schemas.openxmlformats.org/officeDocument/2006/relationships/externalLinkPath" Target="file:///D:\Spreadsheets\deepPWEqual.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D:\Spreadsheets\deepAfterTax2.xls" TargetMode="External"/><Relationship Id="rId1" Type="http://schemas.openxmlformats.org/officeDocument/2006/relationships/externalLinkPath" Target="file:///D:\Spreadsheets\deepAfterTax2.xls" TargetMode="External"/></Relationships>
</file>

<file path=xl/externalLinks/_rels/externalLink20.xml.rels><?xml version="1.0" encoding="UTF-8" standalone="yes"?>
<Relationships xmlns="http://schemas.openxmlformats.org/package/2006/relationships"><Relationship Id="rId2" Type="http://schemas.openxmlformats.org/officeDocument/2006/relationships/externalLinkPath" Target="file:///D:\Spreadsheets\deepPWUnequal.xls" TargetMode="External"/><Relationship Id="rId1" Type="http://schemas.openxmlformats.org/officeDocument/2006/relationships/externalLinkPath" Target="file:///D:\Spreadsheets\deepPWUnequal.xls" TargetMode="External"/></Relationships>
</file>

<file path=xl/externalLinks/_rels/externalLink21.xml.rels><?xml version="1.0" encoding="UTF-8" standalone="yes"?>
<Relationships xmlns="http://schemas.openxmlformats.org/package/2006/relationships"><Relationship Id="rId2" Type="http://schemas.openxmlformats.org/officeDocument/2006/relationships/externalLinkPath" Target="file:///D:\Spreadsheets\deepReplacement.xls" TargetMode="External"/><Relationship Id="rId1" Type="http://schemas.openxmlformats.org/officeDocument/2006/relationships/externalLinkPath" Target="file:///D:\Spreadsheets\deepReplacement.xls" TargetMode="External"/></Relationships>
</file>

<file path=xl/externalLinks/_rels/externalLink22.xml.rels><?xml version="1.0" encoding="UTF-8" standalone="yes"?>
<Relationships xmlns="http://schemas.openxmlformats.org/package/2006/relationships"><Relationship Id="rId2" Type="http://schemas.openxmlformats.org/officeDocument/2006/relationships/externalLinkPath" Target="file:///D:\Spreadsheets\deepSensitivity.xls" TargetMode="External"/><Relationship Id="rId1" Type="http://schemas.openxmlformats.org/officeDocument/2006/relationships/externalLinkPath" Target="file:///D:\Spreadsheets\deepSensitivity.xls"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D:\Spreadsheets\deepAWAnalysis.xls" TargetMode="External"/><Relationship Id="rId1" Type="http://schemas.openxmlformats.org/officeDocument/2006/relationships/externalLinkPath" Target="file:///D:\Spreadsheets\deepAWAnalysis.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D:\Spreadsheets\deepBenCost1.xls" TargetMode="External"/><Relationship Id="rId1" Type="http://schemas.openxmlformats.org/officeDocument/2006/relationships/externalLinkPath" Target="file:///D:\Spreadsheets\deepBenCost1.xls"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D:\Spreadsheets\deepCFAT.xls" TargetMode="External"/><Relationship Id="rId1" Type="http://schemas.openxmlformats.org/officeDocument/2006/relationships/externalLinkPath" Target="file:///D:\Spreadsheets\deepCFAT.xls"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D:\Spreadsheets\deepEffective.xls" TargetMode="External"/><Relationship Id="rId1" Type="http://schemas.openxmlformats.org/officeDocument/2006/relationships/externalLinkPath" Target="file:///D:\Spreadsheets\deepEffective.xls"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D:\Spreadsheets\deepExpValue.xls" TargetMode="External"/><Relationship Id="rId1" Type="http://schemas.openxmlformats.org/officeDocument/2006/relationships/externalLinkPath" Target="file:///D:\Spreadsheets\deepExpValue.xls"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D:\Spreadsheets\deepFVfunction.xls" TargetMode="External"/><Relationship Id="rId1" Type="http://schemas.openxmlformats.org/officeDocument/2006/relationships/externalLinkPath" Target="file:///D:\Spreadsheets\deepFVfunction.xls"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D:\Spreadsheets\deepIndirect.xls" TargetMode="External"/><Relationship Id="rId1" Type="http://schemas.openxmlformats.org/officeDocument/2006/relationships/externalLinkPath" Target="file:///D:\Spreadsheets\deepIndirec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tep1"/>
      <sheetName val="step2"/>
      <sheetName val="step3"/>
      <sheetName val="step4"/>
      <sheetName val="final"/>
    </sheetNames>
    <sheetDataSet>
      <sheetData sheetId="0">
        <row r="1">
          <cell r="D1" t="str">
            <v>After tax analysis - single alternative</v>
          </cell>
          <cell r="L1">
            <v>55000</v>
          </cell>
        </row>
        <row r="2">
          <cell r="D2" t="str">
            <v>Quality improvement problems</v>
          </cell>
        </row>
        <row r="3">
          <cell r="L3">
            <v>35000</v>
          </cell>
        </row>
        <row r="4">
          <cell r="B4" t="str">
            <v>The Board of Work lumber mill is considering a vision system to spot and remove</v>
          </cell>
          <cell r="L4">
            <v>70000</v>
          </cell>
        </row>
        <row r="5">
          <cell r="B5" t="str">
            <v>defects in incoming wood.  Purchase and installation of the system costs $70000.</v>
          </cell>
          <cell r="L5">
            <v>10000</v>
          </cell>
        </row>
        <row r="6">
          <cell r="B6" t="str">
            <v>Annual savings due to improved quality and material utilization are $55000 per year.</v>
          </cell>
        </row>
        <row r="7">
          <cell r="B7" t="str">
            <v>The system will be MACRS depreciated using a 7 year recovery period.  Annual</v>
          </cell>
        </row>
        <row r="8">
          <cell r="B8" t="str">
            <v>maintenance expenses will be $35000.  The system will be scrapped in year 10 for</v>
          </cell>
          <cell r="L8">
            <v>0.4</v>
          </cell>
        </row>
        <row r="9">
          <cell r="B9" t="str">
            <v>$10000.  The effective tax rate is 40% per year and the MARR is 22%.  Use</v>
          </cell>
        </row>
        <row r="10">
          <cell r="B10" t="str">
            <v>rate-of-return analysis to determine if the company should invest in the laser system.</v>
          </cell>
          <cell r="L10">
            <v>0.22</v>
          </cell>
        </row>
      </sheetData>
      <sheetData sheetId="1" refreshError="1"/>
      <sheetData sheetId="2" refreshError="1"/>
      <sheetData sheetId="3" refreshError="1"/>
      <sheetData sheetId="4">
        <row r="20">
          <cell r="L20">
            <v>-70000</v>
          </cell>
        </row>
        <row r="30">
          <cell r="L30">
            <v>18000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tep1"/>
      <sheetName val="step2"/>
      <sheetName val="step3"/>
      <sheetName val="final"/>
    </sheetNames>
    <sheetDataSet>
      <sheetData sheetId="0">
        <row r="1">
          <cell r="D1" t="str">
            <v>Simple and Compound Interest</v>
          </cell>
        </row>
        <row r="2">
          <cell r="D2" t="str">
            <v>Car loan problems</v>
          </cell>
        </row>
        <row r="5">
          <cell r="B5" t="str">
            <v>You were hoping that your trusty Dodge Dart would be your transportation through</v>
          </cell>
        </row>
        <row r="6">
          <cell r="B6" t="str">
            <v>college.  Unfortunately, it had a serious breakdown, and spare parts are not readily</v>
          </cell>
        </row>
        <row r="7">
          <cell r="B7" t="str">
            <v>available.  You have found a great Yugo for $1700.  A friend has offered to loan</v>
          </cell>
          <cell r="L7">
            <v>1700</v>
          </cell>
        </row>
        <row r="8">
          <cell r="B8" t="str">
            <v>you the money at 8% interest per year, charging compound interest.  You will pay back</v>
          </cell>
        </row>
        <row r="9">
          <cell r="B9" t="str">
            <v>the entire loan in 4 years after you graduate and get a good paying job.</v>
          </cell>
          <cell r="L9">
            <v>0.08</v>
          </cell>
        </row>
        <row r="10">
          <cell r="B10" t="str">
            <v>How much will you pay back to your friend?</v>
          </cell>
        </row>
      </sheetData>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tep1"/>
      <sheetName val="step2"/>
      <sheetName val="final"/>
    </sheetNames>
    <sheetDataSet>
      <sheetData sheetId="0">
        <row r="1">
          <cell r="D1" t="str">
            <v>Internal Rate-of-Return</v>
          </cell>
        </row>
        <row r="2">
          <cell r="D2" t="str">
            <v>Commercial Loan problems</v>
          </cell>
        </row>
        <row r="5">
          <cell r="B5" t="str">
            <v>Your spouse has just purchased a great new dining room set from Balsa House</v>
          </cell>
        </row>
        <row r="6">
          <cell r="B6" t="str">
            <v>Furniture for $4000.  Their financial representative is offering you an easy payment plan</v>
          </cell>
        </row>
        <row r="7">
          <cell r="B7" t="str">
            <v>with the initial payment in 2 quarters of $900.  You make 5 total payments with the</v>
          </cell>
        </row>
        <row r="8">
          <cell r="B8" t="str">
            <v>payment amount increasing $70 each payment.  What is the quarterly rate-of-return</v>
          </cell>
        </row>
        <row r="9">
          <cell r="B9" t="str">
            <v>for this payment plan?</v>
          </cell>
        </row>
      </sheetData>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tep1"/>
      <sheetName val="step2"/>
      <sheetName val="step3"/>
      <sheetName val="final"/>
    </sheetNames>
    <sheetDataSet>
      <sheetData sheetId="0">
        <row r="1">
          <cell r="D1" t="str">
            <v>Rate-of-return analysis - 2 alternatives</v>
          </cell>
        </row>
        <row r="2">
          <cell r="D2" t="str">
            <v>Flooring problems</v>
          </cell>
        </row>
        <row r="5">
          <cell r="B5" t="str">
            <v>As a member of your church's building committee, you need to recommend flooring</v>
          </cell>
        </row>
        <row r="6">
          <cell r="B6" t="str">
            <v>for the entry.  You may stay with the hardwood floors, which requires $8000 in</v>
          </cell>
        </row>
        <row r="7">
          <cell r="B7" t="str">
            <v>refinishing cost now and annual waxing cost of $500.  The floor lasts 14 years and</v>
          </cell>
        </row>
        <row r="8">
          <cell r="B8" t="str">
            <v>has no salvage cost.  The other alternative is carpeting, which costs $6000 now plus</v>
          </cell>
        </row>
        <row r="9">
          <cell r="B9" t="str">
            <v>$600 annual shampooing cost (except when replaced).  Removal cost is $300 at the</v>
          </cell>
        </row>
        <row r="10">
          <cell r="B10" t="str">
            <v>end of its 7 year life.  What flooring should be used if the church uses a MARR of 6%?</v>
          </cell>
        </row>
      </sheetData>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tep1"/>
      <sheetName val="step2"/>
      <sheetName val="step3"/>
      <sheetName val="final"/>
    </sheetNames>
    <sheetDataSet>
      <sheetData sheetId="0">
        <row r="1">
          <cell r="D1" t="str">
            <v>Rate-of-return analysis - multiple alternatives</v>
          </cell>
        </row>
        <row r="2">
          <cell r="D2" t="str">
            <v>Mold design problems</v>
          </cell>
        </row>
        <row r="4">
          <cell r="B4" t="str">
            <v>Taipei Personality Ltd. makes plastic figures of celebrities.  They are considering four mold</v>
          </cell>
        </row>
        <row r="5">
          <cell r="B5" t="str">
            <v>alternatives for the popular Frodo figure.  The TripleA cavity mold costs $19500 to make and</v>
          </cell>
        </row>
        <row r="6">
          <cell r="B6" t="str">
            <v>$3000 per year for production.  The TripleB cavity mold costs $21300 to make and $1800</v>
          </cell>
        </row>
        <row r="7">
          <cell r="B7" t="str">
            <v>per year for production.  The Double cavity mold costs $8400 to make and $7200 per year</v>
          </cell>
        </row>
        <row r="8">
          <cell r="B8" t="str">
            <v>for production.  They can make 3 Single cavity molds costing $2500 each to make, with</v>
          </cell>
        </row>
        <row r="9">
          <cell r="B9" t="str">
            <v>$9600 total production cost per year.  Each mold has $2000 salvage value.  What mold should</v>
          </cell>
        </row>
        <row r="10">
          <cell r="B10" t="str">
            <v>be used if the MARR is 20% per year, using ROR analysis and a 4 year planning horizon?</v>
          </cell>
        </row>
      </sheetData>
      <sheetData sheetId="1" refreshError="1"/>
      <sheetData sheetId="2" refreshError="1"/>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tep1"/>
      <sheetName val="step2"/>
      <sheetName val="step3"/>
      <sheetName val="final"/>
    </sheetNames>
    <sheetDataSet>
      <sheetData sheetId="0">
        <row r="1">
          <cell r="D1" t="str">
            <v>Depreciation and book value</v>
          </cell>
        </row>
        <row r="2">
          <cell r="D2" t="str">
            <v>MACRS problems</v>
          </cell>
        </row>
        <row r="5">
          <cell r="B5" t="str">
            <v>The Moore-Payne Medical Clinic will be purchasing a new computer network for the office.</v>
          </cell>
          <cell r="L5">
            <v>40000</v>
          </cell>
        </row>
        <row r="6">
          <cell r="B6" t="str">
            <v>The equipment will cost $40000 to purchase and $15000 to install and check out.</v>
          </cell>
          <cell r="L6">
            <v>15000</v>
          </cell>
        </row>
        <row r="7">
          <cell r="B7" t="str">
            <v>The equipment will last 8 years and is expected to have a salvage value of $3000</v>
          </cell>
        </row>
        <row r="8">
          <cell r="B8" t="str">
            <v>at that time.  The equipment is decreciated using MACRS with a 5 year recovery period.</v>
          </cell>
        </row>
        <row r="9">
          <cell r="B9" t="str">
            <v>Find the depreciation and book value each year for this equipment.</v>
          </cell>
        </row>
      </sheetData>
      <sheetData sheetId="1" refreshError="1"/>
      <sheetData sheetId="2" refreshError="1"/>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tep1"/>
      <sheetName val="step2"/>
      <sheetName val="step3"/>
      <sheetName val="step4"/>
      <sheetName val="final"/>
    </sheetNames>
    <sheetDataSet>
      <sheetData sheetId="0">
        <row r="1">
          <cell r="D1" t="str">
            <v>Use of multiple factors</v>
          </cell>
        </row>
        <row r="2">
          <cell r="D2" t="str">
            <v>College savings plan problems</v>
          </cell>
        </row>
        <row r="4">
          <cell r="B4" t="str">
            <v>Having been saddled with student loans to pay off, you want to begin a savings plan to</v>
          </cell>
        </row>
        <row r="5">
          <cell r="B5" t="str">
            <v>assist in paying for your child's college education.  You plan to invest $800</v>
          </cell>
        </row>
        <row r="6">
          <cell r="B6" t="str">
            <v>per year starting 3 years from now, with the last payment being made 17</v>
          </cell>
          <cell r="L6">
            <v>5</v>
          </cell>
        </row>
        <row r="7">
          <cell r="B7" t="str">
            <v>years from now.  What amount of money can you withdrawl starting 18 years from now</v>
          </cell>
        </row>
        <row r="8">
          <cell r="B8" t="str">
            <v>and continuing for the 5 years of your child's education?</v>
          </cell>
          <cell r="L8">
            <v>0.06</v>
          </cell>
        </row>
        <row r="9">
          <cell r="B9" t="str">
            <v>Assume the money is invested in a CD which draws 6% annual interest guaranteed.</v>
          </cell>
        </row>
      </sheetData>
      <sheetData sheetId="1">
        <row r="18">
          <cell r="C18">
            <v>0</v>
          </cell>
        </row>
        <row r="19">
          <cell r="C19">
            <v>0</v>
          </cell>
        </row>
        <row r="20">
          <cell r="C20">
            <v>0</v>
          </cell>
        </row>
        <row r="21">
          <cell r="C21">
            <v>800</v>
          </cell>
        </row>
        <row r="22">
          <cell r="C22">
            <v>800</v>
          </cell>
        </row>
        <row r="23">
          <cell r="C23">
            <v>800</v>
          </cell>
        </row>
        <row r="24">
          <cell r="C24">
            <v>800</v>
          </cell>
        </row>
        <row r="25">
          <cell r="C25">
            <v>800</v>
          </cell>
        </row>
        <row r="26">
          <cell r="C26">
            <v>800</v>
          </cell>
        </row>
        <row r="27">
          <cell r="C27">
            <v>800</v>
          </cell>
        </row>
        <row r="28">
          <cell r="C28">
            <v>800</v>
          </cell>
        </row>
        <row r="29">
          <cell r="C29">
            <v>800</v>
          </cell>
        </row>
        <row r="30">
          <cell r="C30">
            <v>800</v>
          </cell>
        </row>
        <row r="31">
          <cell r="C31">
            <v>800</v>
          </cell>
        </row>
        <row r="32">
          <cell r="C32">
            <v>800</v>
          </cell>
        </row>
        <row r="33">
          <cell r="C33">
            <v>800</v>
          </cell>
        </row>
        <row r="34">
          <cell r="C34">
            <v>800</v>
          </cell>
        </row>
        <row r="35">
          <cell r="C35">
            <v>800</v>
          </cell>
        </row>
        <row r="36">
          <cell r="C36">
            <v>0</v>
          </cell>
        </row>
        <row r="37">
          <cell r="C37">
            <v>0</v>
          </cell>
        </row>
        <row r="38">
          <cell r="C38">
            <v>0</v>
          </cell>
        </row>
        <row r="39">
          <cell r="C39">
            <v>0</v>
          </cell>
        </row>
        <row r="40">
          <cell r="C40">
            <v>0</v>
          </cell>
        </row>
        <row r="41">
          <cell r="C41">
            <v>0</v>
          </cell>
        </row>
        <row r="42">
          <cell r="C42">
            <v>0</v>
          </cell>
        </row>
      </sheetData>
      <sheetData sheetId="2" refreshError="1"/>
      <sheetData sheetId="3" refreshError="1"/>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tep1"/>
      <sheetName val="step2"/>
      <sheetName val="step3"/>
      <sheetName val="final"/>
    </sheetNames>
    <sheetDataSet>
      <sheetData sheetId="0">
        <row r="1">
          <cell r="D1" t="str">
            <v>Use of multiple factors</v>
          </cell>
          <cell r="L1">
            <v>10</v>
          </cell>
        </row>
        <row r="2">
          <cell r="D2" t="str">
            <v>Rental property problems</v>
          </cell>
        </row>
        <row r="5">
          <cell r="B5" t="str">
            <v>J. J. Slumlord owns a series of rental properties near the State U. campus.</v>
          </cell>
        </row>
        <row r="6">
          <cell r="B6" t="str">
            <v>One old house is anticipated to have a new porch cost of $6000 in 5 years.</v>
          </cell>
        </row>
        <row r="7">
          <cell r="B7" t="str">
            <v>It will also need general maintenance costs of $1000 per year from year 1 to year 11.</v>
          </cell>
        </row>
        <row r="8">
          <cell r="B8" t="str">
            <v>What annual increase in rent must J. J. charge from now until the end of year 10</v>
          </cell>
        </row>
        <row r="9">
          <cell r="B9" t="str">
            <v>to cover these costs if the money is invested in bonds returning 4% per year?</v>
          </cell>
          <cell r="L9">
            <v>0.04</v>
          </cell>
        </row>
      </sheetData>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tep1"/>
      <sheetName val="step2"/>
      <sheetName val="step3"/>
      <sheetName val="final"/>
    </sheetNames>
    <sheetDataSet>
      <sheetData sheetId="0">
        <row r="1">
          <cell r="D1" t="str">
            <v>Net Present Value Function</v>
          </cell>
        </row>
        <row r="2">
          <cell r="D2" t="str">
            <v>Total software cost problems</v>
          </cell>
        </row>
        <row r="5">
          <cell r="B5" t="str">
            <v>Wrap Music Inc. is purchasing new graphics design software for creating CD covers.</v>
          </cell>
        </row>
        <row r="6">
          <cell r="B6" t="str">
            <v>The initial software and setup cost is $22000.  The annual technical support</v>
          </cell>
        </row>
        <row r="7">
          <cell r="B7" t="str">
            <v>will cost $200 and is expected to increase $100 per year through year 8.</v>
          </cell>
        </row>
        <row r="8">
          <cell r="B8" t="str">
            <v>New workers will be trained on the software for $10000 per year from year 2 to year 7.</v>
          </cell>
        </row>
        <row r="9">
          <cell r="B9" t="str">
            <v>There will be a one-time upgrade of the software of $6000 in year 5.  What is the</v>
          </cell>
          <cell r="L9">
            <v>0.18</v>
          </cell>
        </row>
        <row r="10">
          <cell r="B10" t="str">
            <v>total present value of 8 years of costs if the company uses an MARR of 18%.</v>
          </cell>
        </row>
      </sheetData>
      <sheetData sheetId="1">
        <row r="20">
          <cell r="C20">
            <v>22000</v>
          </cell>
          <cell r="D20">
            <v>0</v>
          </cell>
          <cell r="E20">
            <v>0</v>
          </cell>
        </row>
        <row r="21">
          <cell r="C21">
            <v>0</v>
          </cell>
          <cell r="D21">
            <v>200</v>
          </cell>
          <cell r="E21">
            <v>0</v>
          </cell>
        </row>
        <row r="22">
          <cell r="C22">
            <v>0</v>
          </cell>
          <cell r="D22">
            <v>300</v>
          </cell>
          <cell r="E22">
            <v>10000</v>
          </cell>
        </row>
        <row r="23">
          <cell r="C23">
            <v>0</v>
          </cell>
          <cell r="D23">
            <v>400</v>
          </cell>
          <cell r="E23">
            <v>10000</v>
          </cell>
        </row>
        <row r="24">
          <cell r="C24">
            <v>0</v>
          </cell>
          <cell r="D24">
            <v>500</v>
          </cell>
          <cell r="E24">
            <v>10000</v>
          </cell>
        </row>
        <row r="25">
          <cell r="C25">
            <v>6000</v>
          </cell>
          <cell r="D25">
            <v>600</v>
          </cell>
          <cell r="E25">
            <v>10000</v>
          </cell>
        </row>
        <row r="26">
          <cell r="C26">
            <v>0</v>
          </cell>
          <cell r="D26">
            <v>700</v>
          </cell>
          <cell r="E26">
            <v>10000</v>
          </cell>
        </row>
        <row r="27">
          <cell r="C27">
            <v>0</v>
          </cell>
          <cell r="D27">
            <v>800</v>
          </cell>
          <cell r="E27">
            <v>10000</v>
          </cell>
        </row>
        <row r="28">
          <cell r="C28">
            <v>0</v>
          </cell>
          <cell r="D28">
            <v>900</v>
          </cell>
          <cell r="E28">
            <v>0</v>
          </cell>
        </row>
      </sheetData>
      <sheetData sheetId="2" refreshError="1"/>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tep1"/>
      <sheetName val="step2"/>
      <sheetName val="final"/>
    </sheetNames>
    <sheetDataSet>
      <sheetData sheetId="0">
        <row r="1">
          <cell r="D1" t="str">
            <v>Present worth</v>
          </cell>
        </row>
        <row r="2">
          <cell r="D2" t="str">
            <v>Software upgrade problems</v>
          </cell>
        </row>
        <row r="5">
          <cell r="B5" t="str">
            <v>Z-rocks Mining Co. is considering investing in a new payroll software system.</v>
          </cell>
        </row>
        <row r="6">
          <cell r="B6" t="str">
            <v>They anticipate annual training costs of $50000 per year for 4 years for this system.</v>
          </cell>
          <cell r="L6">
            <v>1</v>
          </cell>
        </row>
        <row r="7">
          <cell r="B7" t="str">
            <v>As part of their analysis, Z-rocks wants to know the present value of this cost.</v>
          </cell>
          <cell r="L7">
            <v>50000</v>
          </cell>
        </row>
        <row r="8">
          <cell r="B8" t="str">
            <v>Assume that Z-rocks uses an interest rate of 16% per year.</v>
          </cell>
          <cell r="L8">
            <v>4</v>
          </cell>
        </row>
        <row r="10">
          <cell r="L10">
            <v>0.16</v>
          </cell>
        </row>
      </sheetData>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tep1"/>
      <sheetName val="step2"/>
      <sheetName val="step3"/>
      <sheetName val="final"/>
    </sheetNames>
    <sheetDataSet>
      <sheetData sheetId="0">
        <row r="1">
          <cell r="D1" t="str">
            <v>Present worth analysis</v>
          </cell>
          <cell r="L1">
            <v>30000</v>
          </cell>
        </row>
        <row r="2">
          <cell r="D2" t="str">
            <v>Lift truck problems</v>
          </cell>
          <cell r="L2">
            <v>6000</v>
          </cell>
        </row>
        <row r="3">
          <cell r="L3">
            <v>11000</v>
          </cell>
        </row>
        <row r="4">
          <cell r="L4">
            <v>40000</v>
          </cell>
        </row>
        <row r="5">
          <cell r="B5" t="str">
            <v>Prime Movers needs to replace their aging lift truck in their parts warehouse.  They</v>
          </cell>
          <cell r="L5">
            <v>3000</v>
          </cell>
        </row>
        <row r="6">
          <cell r="B6" t="str">
            <v>may stay with an LP gas truck, which has a purchase cost of $30000, annual operating</v>
          </cell>
          <cell r="L6">
            <v>8000</v>
          </cell>
        </row>
        <row r="7">
          <cell r="B7" t="str">
            <v>expenses of $6000, and annual maintenance expenses of $11000.  The other alternative</v>
          </cell>
          <cell r="L7">
            <v>2000</v>
          </cell>
        </row>
        <row r="8">
          <cell r="B8" t="str">
            <v>is an electric truck which costs $40000 plus recharger cost of $3000.  Annual operating</v>
          </cell>
        </row>
        <row r="9">
          <cell r="B9" t="str">
            <v>expenses are $8000 and annual maintenance is $2000.  What truck should be bought</v>
          </cell>
          <cell r="L9">
            <v>0.18</v>
          </cell>
        </row>
        <row r="10">
          <cell r="B10" t="str">
            <v>if each truck lasts 13 years and has salvage value of $8000?  Use an MARR of 18%.</v>
          </cell>
        </row>
        <row r="11">
          <cell r="L11">
            <v>13</v>
          </cell>
        </row>
        <row r="12">
          <cell r="L12">
            <v>8000</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tep1"/>
      <sheetName val="step2"/>
      <sheetName val="step3"/>
      <sheetName val="step4"/>
      <sheetName val="step5"/>
      <sheetName val="step6"/>
      <sheetName val="final"/>
    </sheetNames>
    <sheetDataSet>
      <sheetData sheetId="0">
        <row r="1">
          <cell r="D1" t="str">
            <v>After tax analysis - multiple alternatives</v>
          </cell>
          <cell r="L1">
            <v>35000</v>
          </cell>
        </row>
        <row r="2">
          <cell r="D2" t="str">
            <v>Facilities problems</v>
          </cell>
        </row>
        <row r="3">
          <cell r="L3">
            <v>25000</v>
          </cell>
        </row>
        <row r="4">
          <cell r="B4" t="str">
            <v>South Hawaii A &amp; M University (SHAMU) needs temporary air conditioning in their lab</v>
          </cell>
          <cell r="L4">
            <v>40000</v>
          </cell>
        </row>
        <row r="5">
          <cell r="B5" t="str">
            <v>for 3 years until their new power plant is completed.  The basic unit costs $40000 to</v>
          </cell>
          <cell r="L5">
            <v>30000</v>
          </cell>
        </row>
        <row r="6">
          <cell r="B6" t="str">
            <v>purchase, has annual fuel and maintenance expenses of $25000 per year, annual energy</v>
          </cell>
        </row>
        <row r="7">
          <cell r="B7" t="str">
            <v>savings of $35000, and salvage value of $30000.  The high efficiency unit costs $80000, with</v>
          </cell>
        </row>
        <row r="8">
          <cell r="B8" t="str">
            <v>annual expenses of $35000, annual savings of $60000, and salvage value of $60000.</v>
          </cell>
          <cell r="L8">
            <v>0.4</v>
          </cell>
        </row>
        <row r="9">
          <cell r="B9" t="str">
            <v>The units will be MACRS depreciated using a 20 year recovery period.  Use IRR analysis</v>
          </cell>
        </row>
        <row r="10">
          <cell r="B10" t="str">
            <v>to select a unit to buy given an effective tax rate is 40% per year and a MARR of 18%.</v>
          </cell>
          <cell r="L10">
            <v>0.18</v>
          </cell>
        </row>
        <row r="11">
          <cell r="L11">
            <v>20</v>
          </cell>
        </row>
        <row r="13">
          <cell r="L13">
            <v>60000</v>
          </cell>
        </row>
        <row r="15">
          <cell r="L15">
            <v>35000</v>
          </cell>
        </row>
        <row r="16">
          <cell r="L16">
            <v>80000</v>
          </cell>
        </row>
        <row r="17">
          <cell r="L17">
            <v>60000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tep1"/>
      <sheetName val="step2"/>
      <sheetName val="step3"/>
      <sheetName val="final"/>
    </sheetNames>
    <sheetDataSet>
      <sheetData sheetId="0">
        <row r="1">
          <cell r="D1" t="str">
            <v>Present worth analysis - Unequal years</v>
          </cell>
        </row>
        <row r="2">
          <cell r="D2" t="str">
            <v>RFID system problems</v>
          </cell>
        </row>
        <row r="5">
          <cell r="B5" t="str">
            <v>Flor-mart plans to invest in RFID for their cashiers in the checkout lanes.  High Frequency</v>
          </cell>
        </row>
        <row r="6">
          <cell r="B6" t="str">
            <v>(HF) readers are less expensive but become obsolete sooner.  They cost $20000 to buy</v>
          </cell>
        </row>
        <row r="7">
          <cell r="B7" t="str">
            <v>and have annual maintenance expenses of $7000.  They are expected to last 3 years.</v>
          </cell>
        </row>
        <row r="8">
          <cell r="B8" t="str">
            <v>UHF readers cost $35000 and have $4000 annual maintenance costs, but they are</v>
          </cell>
        </row>
        <row r="9">
          <cell r="B9" t="str">
            <v>expected to last 4 years.  Neither reader has any salvage value.  What reader should be</v>
          </cell>
          <cell r="L9">
            <v>0.18</v>
          </cell>
        </row>
        <row r="10">
          <cell r="B10" t="str">
            <v>bought if the company MARR is 18% ?</v>
          </cell>
        </row>
      </sheetData>
      <sheetData sheetId="1" refreshError="1"/>
      <sheetData sheetId="2" refreshError="1"/>
      <sheetData sheetId="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tep1"/>
      <sheetName val="step2"/>
      <sheetName val="step3"/>
      <sheetName val="step4"/>
      <sheetName val="final"/>
    </sheetNames>
    <sheetDataSet>
      <sheetData sheetId="0">
        <row r="1">
          <cell r="D1" t="str">
            <v>Replacement analysis</v>
          </cell>
          <cell r="L1">
            <v>400</v>
          </cell>
        </row>
        <row r="2">
          <cell r="D2" t="str">
            <v>Furnace selection problems</v>
          </cell>
          <cell r="L2">
            <v>6</v>
          </cell>
        </row>
        <row r="4">
          <cell r="B4" t="str">
            <v>You are considering replacing your aging propane furnace for a natural gas model.  The</v>
          </cell>
          <cell r="L4">
            <v>2200</v>
          </cell>
        </row>
        <row r="5">
          <cell r="B5" t="str">
            <v>propane model originally cost $2200, will last 6 more years, and will have no salvage value.</v>
          </cell>
          <cell r="L5">
            <v>13</v>
          </cell>
        </row>
        <row r="6">
          <cell r="B6" t="str">
            <v>The gas model costs $2200 and offers a $400 trade-in on the old furnace.  It lasts 13 years,</v>
          </cell>
        </row>
        <row r="7">
          <cell r="B7" t="str">
            <v>and can be salvaged for $500.  Annual fuel costs are $800 for the propane furnace and $600</v>
          </cell>
        </row>
        <row r="8">
          <cell r="B8" t="str">
            <v>for the gas furnace.  Use 9% per year interest.  Use cash-flow replacement and annual</v>
          </cell>
          <cell r="L8">
            <v>0</v>
          </cell>
        </row>
        <row r="9">
          <cell r="B9" t="str">
            <v>worth analysis to select a furnace assuming another propane furnace can be had if needed.</v>
          </cell>
        </row>
        <row r="10">
          <cell r="L10">
            <v>0.09</v>
          </cell>
        </row>
        <row r="16">
          <cell r="L16">
            <v>2</v>
          </cell>
        </row>
      </sheetData>
      <sheetData sheetId="1" refreshError="1"/>
      <sheetData sheetId="2" refreshError="1"/>
      <sheetData sheetId="3" refreshError="1"/>
      <sheetData sheetId="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tep1"/>
      <sheetName val="step2"/>
      <sheetName val="final"/>
    </sheetNames>
    <sheetDataSet>
      <sheetData sheetId="0">
        <row r="1">
          <cell r="D1" t="str">
            <v>Sensitivity Analysis</v>
          </cell>
        </row>
        <row r="2">
          <cell r="D2" t="str">
            <v>Delivery van problems</v>
          </cell>
        </row>
        <row r="4">
          <cell r="L4" t="str">
            <v>new van</v>
          </cell>
        </row>
        <row r="5">
          <cell r="B5" t="str">
            <v>Real Greens Produce is starting home delivery of fresh produce via internet ordering.</v>
          </cell>
        </row>
        <row r="6">
          <cell r="B6" t="str">
            <v>They analyzed both a new and a used delivery van using incremental rate-of-return</v>
          </cell>
        </row>
        <row r="7">
          <cell r="B7" t="str">
            <v>analysis, as shown in the tables below.  The store manager is concerned about the</v>
          </cell>
        </row>
        <row r="8">
          <cell r="B8" t="str">
            <v>new van salvage value data accuracy.  Use sensitivity analysis, change the data</v>
          </cell>
          <cell r="L8">
            <v>0.2</v>
          </cell>
        </row>
        <row r="9">
          <cell r="B9" t="str">
            <v>by -$2000, -$1000, $0, $1000, and $2000 to see if the decision changes, if MARR=20%.</v>
          </cell>
        </row>
        <row r="11">
          <cell r="L11" t="str">
            <v>salvage value</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tep1"/>
      <sheetName val="step2"/>
      <sheetName val="step3"/>
      <sheetName val="step4"/>
      <sheetName val="final"/>
    </sheetNames>
    <sheetDataSet>
      <sheetData sheetId="0">
        <row r="1">
          <cell r="D1" t="str">
            <v>Annual worth analysis</v>
          </cell>
          <cell r="L1">
            <v>2000</v>
          </cell>
        </row>
        <row r="2">
          <cell r="D2" t="str">
            <v>Fixture selection problems</v>
          </cell>
          <cell r="L2">
            <v>7</v>
          </cell>
        </row>
        <row r="4">
          <cell r="B4" t="str">
            <v>Gadgets-R-Us needs to design a fixture for the assembly of 1000 nose hair removers</v>
          </cell>
          <cell r="L4">
            <v>4000</v>
          </cell>
        </row>
        <row r="5">
          <cell r="B5" t="str">
            <v>per year.  The simple Holding fixture costs $2000, lasts 7 years, and has no salvage value.</v>
          </cell>
          <cell r="L5">
            <v>4</v>
          </cell>
        </row>
        <row r="6">
          <cell r="B6" t="str">
            <v>The Rotating fixture costs $4000 to make, lasts 4 years, and has parts that can be</v>
          </cell>
        </row>
        <row r="7">
          <cell r="B7" t="str">
            <v>salvaged for $2000.  Assembly costs per unit are $6 for the Holding fixture and $2</v>
          </cell>
        </row>
        <row r="8">
          <cell r="B8" t="str">
            <v>per unit for the Rotating fixture.  Assume an interest rate of 18% per year.  Use annual worth</v>
          </cell>
          <cell r="L8">
            <v>4</v>
          </cell>
        </row>
        <row r="9">
          <cell r="B9" t="str">
            <v>analysis to select an NHR fixture assuming a planning horizon of 4 years.</v>
          </cell>
        </row>
        <row r="10">
          <cell r="L10">
            <v>0.18</v>
          </cell>
        </row>
      </sheetData>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tep1"/>
      <sheetName val="step2"/>
      <sheetName val="final"/>
    </sheetNames>
    <sheetDataSet>
      <sheetData sheetId="0">
        <row r="1">
          <cell r="D1" t="str">
            <v>Benefit/cost ratio</v>
          </cell>
        </row>
        <row r="2">
          <cell r="D2" t="str">
            <v>Auto inspection problems</v>
          </cell>
        </row>
        <row r="4">
          <cell r="L4">
            <v>50000000</v>
          </cell>
        </row>
        <row r="5">
          <cell r="B5" t="str">
            <v>The State of Utter Confusion is considering an automobile inspection program to reduce</v>
          </cell>
          <cell r="L5">
            <v>6</v>
          </cell>
        </row>
        <row r="6">
          <cell r="B6" t="str">
            <v>traffic accidents.  The program will cost $50,000,000 per year to administer.  Each of the</v>
          </cell>
        </row>
        <row r="7">
          <cell r="B7" t="str">
            <v>6,000,000 vehicle owners will pay a $15 inspection fee and lose one hour of time valued at</v>
          </cell>
        </row>
        <row r="8">
          <cell r="B8" t="str">
            <v>$10 each year.  The program expects to reduce traffic accidents in the state by 60,000 per</v>
          </cell>
          <cell r="L8">
            <v>4000</v>
          </cell>
        </row>
        <row r="9">
          <cell r="B9" t="str">
            <v>year, at a savings of $4000 in injuries per accident.  Use annual benefit/cost analysis to</v>
          </cell>
        </row>
        <row r="10">
          <cell r="B10" t="str">
            <v>see if the program should be implemented at i = 8%.</v>
          </cell>
        </row>
        <row r="12">
          <cell r="L12">
            <v>15</v>
          </cell>
        </row>
      </sheetData>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tep1"/>
      <sheetName val="step2"/>
      <sheetName val="step3"/>
      <sheetName val="step4"/>
      <sheetName val="final"/>
    </sheetNames>
    <sheetDataSet>
      <sheetData sheetId="0">
        <row r="1">
          <cell r="D1" t="str">
            <v>Net cash flow</v>
          </cell>
          <cell r="L1">
            <v>4000000</v>
          </cell>
        </row>
        <row r="2">
          <cell r="D2" t="str">
            <v>Manufacturing line problems</v>
          </cell>
          <cell r="L2">
            <v>300000</v>
          </cell>
        </row>
        <row r="3">
          <cell r="L3">
            <v>700000</v>
          </cell>
        </row>
        <row r="4">
          <cell r="L4">
            <v>2000000</v>
          </cell>
        </row>
        <row r="5">
          <cell r="B5" t="str">
            <v>Find the cash flow for Intendo's new Game Girl game manufacturing line.  They expect</v>
          </cell>
          <cell r="L5">
            <v>100000</v>
          </cell>
        </row>
        <row r="6">
          <cell r="B6" t="str">
            <v>the game to generate $4,000,000 income in year one, increasing by $300,000 each</v>
          </cell>
        </row>
        <row r="7">
          <cell r="B7" t="str">
            <v>succeeding year.  Capital costs for the line are $2,000,000 in year 0.  The item will be</v>
          </cell>
        </row>
        <row r="8">
          <cell r="B8" t="str">
            <v>MACRS depreciated using a 5 year recovery period.  Annual expenses are $700,000.</v>
          </cell>
          <cell r="L8">
            <v>0.5</v>
          </cell>
        </row>
        <row r="9">
          <cell r="B9" t="str">
            <v>The line will be scrapped in year 6 with $100000 salvage value.  The effective tax rate</v>
          </cell>
        </row>
        <row r="10">
          <cell r="B10" t="str">
            <v>will be 50% per year.</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tep1"/>
      <sheetName val="step2"/>
      <sheetName val="final"/>
    </sheetNames>
    <sheetDataSet>
      <sheetData sheetId="0">
        <row r="1">
          <cell r="D1" t="str">
            <v>Nominal and Effective Interest</v>
          </cell>
        </row>
        <row r="2">
          <cell r="D2" t="str">
            <v>Investment problems</v>
          </cell>
        </row>
        <row r="3">
          <cell r="L3">
            <v>4</v>
          </cell>
        </row>
        <row r="5">
          <cell r="B5" t="str">
            <v>You plan to invest money in a money market to save for the new boat you always</v>
          </cell>
        </row>
        <row r="6">
          <cell r="B6" t="str">
            <v>wanted but could never seem to afford.  The credit union account offers interest at</v>
          </cell>
        </row>
        <row r="7">
          <cell r="B7" t="str">
            <v>a effective 1.5% interest per quarter compounded monthly.</v>
          </cell>
          <cell r="L7">
            <v>4000</v>
          </cell>
        </row>
        <row r="8">
          <cell r="B8" t="str">
            <v>If you invest $4000 now how much will you have in the account in 5 years?</v>
          </cell>
          <cell r="L8">
            <v>5</v>
          </cell>
        </row>
      </sheetData>
      <sheetData sheetId="1">
        <row r="23">
          <cell r="E23">
            <v>1.4999999999999999E-2</v>
          </cell>
        </row>
      </sheetData>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tep1"/>
      <sheetName val="step2"/>
      <sheetName val="step3"/>
      <sheetName val="step4"/>
      <sheetName val="final"/>
    </sheetNames>
    <sheetDataSet>
      <sheetData sheetId="0">
        <row r="1">
          <cell r="D1" t="str">
            <v>Expected value</v>
          </cell>
          <cell r="N1">
            <v>14</v>
          </cell>
        </row>
        <row r="2">
          <cell r="D2" t="str">
            <v>Manufacturing line problems</v>
          </cell>
          <cell r="N2">
            <v>7</v>
          </cell>
        </row>
        <row r="3">
          <cell r="N3">
            <v>60000</v>
          </cell>
        </row>
        <row r="4">
          <cell r="N4">
            <v>16</v>
          </cell>
        </row>
        <row r="5">
          <cell r="B5" t="str">
            <v>Specific Motors has planned a new manufacturing line for nano-motors.  The after-tax</v>
          </cell>
          <cell r="N5">
            <v>3.5</v>
          </cell>
        </row>
        <row r="6">
          <cell r="B6" t="str">
            <v>economic analysis is shown below.  However, the given costs and sales are only the</v>
          </cell>
          <cell r="N6">
            <v>120000</v>
          </cell>
        </row>
        <row r="7">
          <cell r="B7" t="str">
            <v>most likely values.  Pessimistically, there is a 10% chance that the price per unit is</v>
          </cell>
        </row>
        <row r="8">
          <cell r="B8" t="str">
            <v>$14, cost per unit is $7 and sales are 60000.      Optimistically, there is a 25% chance</v>
          </cell>
          <cell r="N8">
            <v>0.1</v>
          </cell>
        </row>
        <row r="9">
          <cell r="B9" t="str">
            <v>that the price per unit is $16, the cost per unit is $3.5, and the sales are 120000.  Find</v>
          </cell>
        </row>
        <row r="10">
          <cell r="B10" t="str">
            <v>the expected present value of the line to see if it should be built, given MARR of 25%.</v>
          </cell>
          <cell r="N10">
            <v>0.25</v>
          </cell>
        </row>
      </sheetData>
      <sheetData sheetId="1" refreshError="1"/>
      <sheetData sheetId="2" refreshError="1"/>
      <sheetData sheetId="3" refreshError="1"/>
      <sheetData sheetId="4">
        <row r="91">
          <cell r="L91">
            <v>-774273.35168000008</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tep1"/>
      <sheetName val="step2"/>
      <sheetName val="final"/>
    </sheetNames>
    <sheetDataSet>
      <sheetData sheetId="0">
        <row r="1">
          <cell r="D1" t="str">
            <v>Future worth</v>
          </cell>
        </row>
        <row r="2">
          <cell r="D2" t="str">
            <v>Retirement plan problems</v>
          </cell>
        </row>
        <row r="5">
          <cell r="B5" t="str">
            <v>Now that you are earning a good income, you decide to take you parent's advice</v>
          </cell>
        </row>
        <row r="6">
          <cell r="B6" t="str">
            <v>and start a retirement account.  You plan on investing $6000 you received this year</v>
          </cell>
        </row>
        <row r="7">
          <cell r="B7" t="str">
            <v>from your rich uncle's inheritance.  How much will you have in your retirement account</v>
          </cell>
          <cell r="L7">
            <v>6000</v>
          </cell>
        </row>
        <row r="8">
          <cell r="B8" t="str">
            <v>at the end of 19 years when you plan to retire.  Assume you invest the money in a</v>
          </cell>
          <cell r="L8">
            <v>19</v>
          </cell>
        </row>
        <row r="9">
          <cell r="B9" t="str">
            <v>fixed income fund earning 7% per year.</v>
          </cell>
        </row>
        <row r="10">
          <cell r="L10">
            <v>7.0000000000000007E-2</v>
          </cell>
        </row>
      </sheetData>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tep1"/>
      <sheetName val="step2"/>
      <sheetName val="step3"/>
      <sheetName val="final"/>
    </sheetNames>
    <sheetDataSet>
      <sheetData sheetId="0">
        <row r="1">
          <cell r="D1" t="str">
            <v>Indirect cost allocation</v>
          </cell>
          <cell r="L1">
            <v>14400</v>
          </cell>
        </row>
        <row r="2">
          <cell r="D2" t="str">
            <v>Product pricing problems</v>
          </cell>
          <cell r="L2">
            <v>450</v>
          </cell>
        </row>
        <row r="3">
          <cell r="L3">
            <v>4800</v>
          </cell>
        </row>
        <row r="4">
          <cell r="L4">
            <v>300</v>
          </cell>
        </row>
        <row r="5">
          <cell r="B5" t="str">
            <v>The Paper View mill uses 3 machines to make paper products, allocating costs on</v>
          </cell>
          <cell r="L5">
            <v>3000</v>
          </cell>
        </row>
        <row r="6">
          <cell r="B6" t="str">
            <v>machine hours.  Last month the press cost $14400 for 450 hours of operation, the slicer</v>
          </cell>
          <cell r="L6">
            <v>150</v>
          </cell>
        </row>
        <row r="7">
          <cell r="B7" t="str">
            <v>cost $4800 for 300 hours of operation, the winder cost $3000 for 150 hours of operation.</v>
          </cell>
          <cell r="L7">
            <v>60</v>
          </cell>
        </row>
        <row r="8">
          <cell r="B8" t="str">
            <v xml:space="preserve">     Find the cost of a roll of card stock which requires 6 hours of the paper press, 4 hours</v>
          </cell>
          <cell r="L8">
            <v>14</v>
          </cell>
        </row>
        <row r="9">
          <cell r="B9" t="str">
            <v>of the slicer, and 1 hours of the winder.  It also requires $60 worth of raw materials</v>
          </cell>
          <cell r="L9">
            <v>6</v>
          </cell>
        </row>
        <row r="10">
          <cell r="B10" t="str">
            <v>and 7 hours of direct labor at $14 per hour.</v>
          </cell>
          <cell r="L10">
            <v>4</v>
          </cell>
        </row>
        <row r="11">
          <cell r="L11">
            <v>1</v>
          </cell>
        </row>
        <row r="12">
          <cell r="L12">
            <v>7</v>
          </cell>
        </row>
        <row r="14">
          <cell r="L14" t="str">
            <v>slicer</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3.emf"/><Relationship Id="rId13" Type="http://schemas.openxmlformats.org/officeDocument/2006/relationships/oleObject" Target="../embeddings/oleObject6.bin"/><Relationship Id="rId18" Type="http://schemas.openxmlformats.org/officeDocument/2006/relationships/image" Target="../media/image8.emf"/><Relationship Id="rId26" Type="http://schemas.openxmlformats.org/officeDocument/2006/relationships/image" Target="../media/image12.emf"/><Relationship Id="rId3" Type="http://schemas.openxmlformats.org/officeDocument/2006/relationships/oleObject" Target="../embeddings/oleObject1.bin"/><Relationship Id="rId21" Type="http://schemas.openxmlformats.org/officeDocument/2006/relationships/oleObject" Target="../embeddings/oleObject10.bin"/><Relationship Id="rId7" Type="http://schemas.openxmlformats.org/officeDocument/2006/relationships/oleObject" Target="../embeddings/oleObject3.bin"/><Relationship Id="rId12" Type="http://schemas.openxmlformats.org/officeDocument/2006/relationships/image" Target="../media/image5.emf"/><Relationship Id="rId17" Type="http://schemas.openxmlformats.org/officeDocument/2006/relationships/oleObject" Target="../embeddings/oleObject8.bin"/><Relationship Id="rId25" Type="http://schemas.openxmlformats.org/officeDocument/2006/relationships/oleObject" Target="../embeddings/oleObject12.bin"/><Relationship Id="rId2" Type="http://schemas.openxmlformats.org/officeDocument/2006/relationships/vmlDrawing" Target="../drawings/vmlDrawing1.vml"/><Relationship Id="rId16" Type="http://schemas.openxmlformats.org/officeDocument/2006/relationships/image" Target="../media/image7.emf"/><Relationship Id="rId20" Type="http://schemas.openxmlformats.org/officeDocument/2006/relationships/image" Target="../media/image9.emf"/><Relationship Id="rId1" Type="http://schemas.openxmlformats.org/officeDocument/2006/relationships/drawing" Target="../drawings/drawing1.xml"/><Relationship Id="rId6" Type="http://schemas.openxmlformats.org/officeDocument/2006/relationships/image" Target="../media/image2.emf"/><Relationship Id="rId11" Type="http://schemas.openxmlformats.org/officeDocument/2006/relationships/oleObject" Target="../embeddings/oleObject5.bin"/><Relationship Id="rId24" Type="http://schemas.openxmlformats.org/officeDocument/2006/relationships/image" Target="../media/image11.emf"/><Relationship Id="rId5" Type="http://schemas.openxmlformats.org/officeDocument/2006/relationships/oleObject" Target="../embeddings/oleObject2.bin"/><Relationship Id="rId15" Type="http://schemas.openxmlformats.org/officeDocument/2006/relationships/oleObject" Target="../embeddings/oleObject7.bin"/><Relationship Id="rId23" Type="http://schemas.openxmlformats.org/officeDocument/2006/relationships/oleObject" Target="../embeddings/oleObject11.bin"/><Relationship Id="rId10" Type="http://schemas.openxmlformats.org/officeDocument/2006/relationships/image" Target="../media/image4.emf"/><Relationship Id="rId19" Type="http://schemas.openxmlformats.org/officeDocument/2006/relationships/oleObject" Target="../embeddings/oleObject9.bin"/><Relationship Id="rId4" Type="http://schemas.openxmlformats.org/officeDocument/2006/relationships/image" Target="../media/image1.emf"/><Relationship Id="rId9" Type="http://schemas.openxmlformats.org/officeDocument/2006/relationships/oleObject" Target="../embeddings/oleObject4.bin"/><Relationship Id="rId14" Type="http://schemas.openxmlformats.org/officeDocument/2006/relationships/image" Target="../media/image6.emf"/><Relationship Id="rId22" Type="http://schemas.openxmlformats.org/officeDocument/2006/relationships/image" Target="../media/image10.emf"/></Relationships>
</file>

<file path=xl/worksheets/_rels/sheet1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22.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CEFE8-31B7-4B85-A546-7737AE740EFD}">
  <dimension ref="A2:R31"/>
  <sheetViews>
    <sheetView workbookViewId="0">
      <selection sqref="A1:XFD1048576"/>
    </sheetView>
  </sheetViews>
  <sheetFormatPr defaultRowHeight="14.4"/>
  <cols>
    <col min="10" max="10" width="5.6640625" customWidth="1"/>
    <col min="15" max="15" width="2.6640625" customWidth="1"/>
    <col min="266" max="266" width="5.6640625" customWidth="1"/>
    <col min="271" max="271" width="2.6640625" customWidth="1"/>
    <col min="522" max="522" width="5.6640625" customWidth="1"/>
    <col min="527" max="527" width="2.6640625" customWidth="1"/>
    <col min="778" max="778" width="5.6640625" customWidth="1"/>
    <col min="783" max="783" width="2.6640625" customWidth="1"/>
    <col min="1034" max="1034" width="5.6640625" customWidth="1"/>
    <col min="1039" max="1039" width="2.6640625" customWidth="1"/>
    <col min="1290" max="1290" width="5.6640625" customWidth="1"/>
    <col min="1295" max="1295" width="2.6640625" customWidth="1"/>
    <col min="1546" max="1546" width="5.6640625" customWidth="1"/>
    <col min="1551" max="1551" width="2.6640625" customWidth="1"/>
    <col min="1802" max="1802" width="5.6640625" customWidth="1"/>
    <col min="1807" max="1807" width="2.6640625" customWidth="1"/>
    <col min="2058" max="2058" width="5.6640625" customWidth="1"/>
    <col min="2063" max="2063" width="2.6640625" customWidth="1"/>
    <col min="2314" max="2314" width="5.6640625" customWidth="1"/>
    <col min="2319" max="2319" width="2.6640625" customWidth="1"/>
    <col min="2570" max="2570" width="5.6640625" customWidth="1"/>
    <col min="2575" max="2575" width="2.6640625" customWidth="1"/>
    <col min="2826" max="2826" width="5.6640625" customWidth="1"/>
    <col min="2831" max="2831" width="2.6640625" customWidth="1"/>
    <col min="3082" max="3082" width="5.6640625" customWidth="1"/>
    <col min="3087" max="3087" width="2.6640625" customWidth="1"/>
    <col min="3338" max="3338" width="5.6640625" customWidth="1"/>
    <col min="3343" max="3343" width="2.6640625" customWidth="1"/>
    <col min="3594" max="3594" width="5.6640625" customWidth="1"/>
    <col min="3599" max="3599" width="2.6640625" customWidth="1"/>
    <col min="3850" max="3850" width="5.6640625" customWidth="1"/>
    <col min="3855" max="3855" width="2.6640625" customWidth="1"/>
    <col min="4106" max="4106" width="5.6640625" customWidth="1"/>
    <col min="4111" max="4111" width="2.6640625" customWidth="1"/>
    <col min="4362" max="4362" width="5.6640625" customWidth="1"/>
    <col min="4367" max="4367" width="2.6640625" customWidth="1"/>
    <col min="4618" max="4618" width="5.6640625" customWidth="1"/>
    <col min="4623" max="4623" width="2.6640625" customWidth="1"/>
    <col min="4874" max="4874" width="5.6640625" customWidth="1"/>
    <col min="4879" max="4879" width="2.6640625" customWidth="1"/>
    <col min="5130" max="5130" width="5.6640625" customWidth="1"/>
    <col min="5135" max="5135" width="2.6640625" customWidth="1"/>
    <col min="5386" max="5386" width="5.6640625" customWidth="1"/>
    <col min="5391" max="5391" width="2.6640625" customWidth="1"/>
    <col min="5642" max="5642" width="5.6640625" customWidth="1"/>
    <col min="5647" max="5647" width="2.6640625" customWidth="1"/>
    <col min="5898" max="5898" width="5.6640625" customWidth="1"/>
    <col min="5903" max="5903" width="2.6640625" customWidth="1"/>
    <col min="6154" max="6154" width="5.6640625" customWidth="1"/>
    <col min="6159" max="6159" width="2.6640625" customWidth="1"/>
    <col min="6410" max="6410" width="5.6640625" customWidth="1"/>
    <col min="6415" max="6415" width="2.6640625" customWidth="1"/>
    <col min="6666" max="6666" width="5.6640625" customWidth="1"/>
    <col min="6671" max="6671" width="2.6640625" customWidth="1"/>
    <col min="6922" max="6922" width="5.6640625" customWidth="1"/>
    <col min="6927" max="6927" width="2.6640625" customWidth="1"/>
    <col min="7178" max="7178" width="5.6640625" customWidth="1"/>
    <col min="7183" max="7183" width="2.6640625" customWidth="1"/>
    <col min="7434" max="7434" width="5.6640625" customWidth="1"/>
    <col min="7439" max="7439" width="2.6640625" customWidth="1"/>
    <col min="7690" max="7690" width="5.6640625" customWidth="1"/>
    <col min="7695" max="7695" width="2.6640625" customWidth="1"/>
    <col min="7946" max="7946" width="5.6640625" customWidth="1"/>
    <col min="7951" max="7951" width="2.6640625" customWidth="1"/>
    <col min="8202" max="8202" width="5.6640625" customWidth="1"/>
    <col min="8207" max="8207" width="2.6640625" customWidth="1"/>
    <col min="8458" max="8458" width="5.6640625" customWidth="1"/>
    <col min="8463" max="8463" width="2.6640625" customWidth="1"/>
    <col min="8714" max="8714" width="5.6640625" customWidth="1"/>
    <col min="8719" max="8719" width="2.6640625" customWidth="1"/>
    <col min="8970" max="8970" width="5.6640625" customWidth="1"/>
    <col min="8975" max="8975" width="2.6640625" customWidth="1"/>
    <col min="9226" max="9226" width="5.6640625" customWidth="1"/>
    <col min="9231" max="9231" width="2.6640625" customWidth="1"/>
    <col min="9482" max="9482" width="5.6640625" customWidth="1"/>
    <col min="9487" max="9487" width="2.6640625" customWidth="1"/>
    <col min="9738" max="9738" width="5.6640625" customWidth="1"/>
    <col min="9743" max="9743" width="2.6640625" customWidth="1"/>
    <col min="9994" max="9994" width="5.6640625" customWidth="1"/>
    <col min="9999" max="9999" width="2.6640625" customWidth="1"/>
    <col min="10250" max="10250" width="5.6640625" customWidth="1"/>
    <col min="10255" max="10255" width="2.6640625" customWidth="1"/>
    <col min="10506" max="10506" width="5.6640625" customWidth="1"/>
    <col min="10511" max="10511" width="2.6640625" customWidth="1"/>
    <col min="10762" max="10762" width="5.6640625" customWidth="1"/>
    <col min="10767" max="10767" width="2.6640625" customWidth="1"/>
    <col min="11018" max="11018" width="5.6640625" customWidth="1"/>
    <col min="11023" max="11023" width="2.6640625" customWidth="1"/>
    <col min="11274" max="11274" width="5.6640625" customWidth="1"/>
    <col min="11279" max="11279" width="2.6640625" customWidth="1"/>
    <col min="11530" max="11530" width="5.6640625" customWidth="1"/>
    <col min="11535" max="11535" width="2.6640625" customWidth="1"/>
    <col min="11786" max="11786" width="5.6640625" customWidth="1"/>
    <col min="11791" max="11791" width="2.6640625" customWidth="1"/>
    <col min="12042" max="12042" width="5.6640625" customWidth="1"/>
    <col min="12047" max="12047" width="2.6640625" customWidth="1"/>
    <col min="12298" max="12298" width="5.6640625" customWidth="1"/>
    <col min="12303" max="12303" width="2.6640625" customWidth="1"/>
    <col min="12554" max="12554" width="5.6640625" customWidth="1"/>
    <col min="12559" max="12559" width="2.6640625" customWidth="1"/>
    <col min="12810" max="12810" width="5.6640625" customWidth="1"/>
    <col min="12815" max="12815" width="2.6640625" customWidth="1"/>
    <col min="13066" max="13066" width="5.6640625" customWidth="1"/>
    <col min="13071" max="13071" width="2.6640625" customWidth="1"/>
    <col min="13322" max="13322" width="5.6640625" customWidth="1"/>
    <col min="13327" max="13327" width="2.6640625" customWidth="1"/>
    <col min="13578" max="13578" width="5.6640625" customWidth="1"/>
    <col min="13583" max="13583" width="2.6640625" customWidth="1"/>
    <col min="13834" max="13834" width="5.6640625" customWidth="1"/>
    <col min="13839" max="13839" width="2.6640625" customWidth="1"/>
    <col min="14090" max="14090" width="5.6640625" customWidth="1"/>
    <col min="14095" max="14095" width="2.6640625" customWidth="1"/>
    <col min="14346" max="14346" width="5.6640625" customWidth="1"/>
    <col min="14351" max="14351" width="2.6640625" customWidth="1"/>
    <col min="14602" max="14602" width="5.6640625" customWidth="1"/>
    <col min="14607" max="14607" width="2.6640625" customWidth="1"/>
    <col min="14858" max="14858" width="5.6640625" customWidth="1"/>
    <col min="14863" max="14863" width="2.6640625" customWidth="1"/>
    <col min="15114" max="15114" width="5.6640625" customWidth="1"/>
    <col min="15119" max="15119" width="2.6640625" customWidth="1"/>
    <col min="15370" max="15370" width="5.6640625" customWidth="1"/>
    <col min="15375" max="15375" width="2.6640625" customWidth="1"/>
    <col min="15626" max="15626" width="5.6640625" customWidth="1"/>
    <col min="15631" max="15631" width="2.6640625" customWidth="1"/>
    <col min="15882" max="15882" width="5.6640625" customWidth="1"/>
    <col min="15887" max="15887" width="2.6640625" customWidth="1"/>
    <col min="16138" max="16138" width="5.6640625" customWidth="1"/>
    <col min="16143" max="16143" width="2.6640625" customWidth="1"/>
  </cols>
  <sheetData>
    <row r="2" spans="1:18" ht="24.6">
      <c r="A2" s="1" t="s">
        <v>0</v>
      </c>
    </row>
    <row r="3" spans="1:18" ht="15.6">
      <c r="A3" s="2" t="s">
        <v>1</v>
      </c>
      <c r="B3" s="3"/>
      <c r="C3" s="3"/>
      <c r="D3" s="3"/>
      <c r="E3" s="3"/>
      <c r="F3" s="3"/>
      <c r="G3" s="3"/>
      <c r="H3" s="3"/>
      <c r="I3" s="3"/>
      <c r="J3" s="3"/>
      <c r="K3" s="3"/>
      <c r="L3" s="3"/>
      <c r="M3" s="3"/>
      <c r="N3" s="3"/>
      <c r="O3" s="3"/>
      <c r="P3" s="3"/>
      <c r="Q3" s="3"/>
      <c r="R3" s="3"/>
    </row>
    <row r="4" spans="1:18" ht="15.6">
      <c r="A4" s="4" t="s">
        <v>2</v>
      </c>
      <c r="B4" s="3"/>
      <c r="C4" s="3"/>
      <c r="D4" s="3"/>
      <c r="E4" s="3"/>
      <c r="F4" s="3"/>
      <c r="G4" s="3"/>
      <c r="H4" s="3"/>
      <c r="I4" s="3"/>
      <c r="J4" s="3"/>
      <c r="K4" s="3"/>
      <c r="L4" s="3"/>
      <c r="M4" s="3"/>
      <c r="N4" s="3"/>
      <c r="O4" s="3"/>
      <c r="P4" s="3"/>
      <c r="Q4" s="3"/>
      <c r="R4" s="3"/>
    </row>
    <row r="5" spans="1:18" ht="15.6">
      <c r="A5" s="3"/>
      <c r="B5" s="3"/>
      <c r="C5" s="3"/>
      <c r="D5" s="3"/>
      <c r="E5" s="3"/>
      <c r="F5" s="3"/>
      <c r="G5" s="3"/>
      <c r="H5" s="3"/>
      <c r="I5" s="3"/>
      <c r="J5" s="3"/>
      <c r="K5" s="3"/>
      <c r="L5" s="3"/>
      <c r="M5" s="3"/>
      <c r="N5" s="3"/>
      <c r="O5" s="3"/>
      <c r="P5" s="3"/>
      <c r="Q5" s="3"/>
      <c r="R5" s="3"/>
    </row>
    <row r="6" spans="1:18" ht="15.6">
      <c r="A6" s="4" t="s">
        <v>3</v>
      </c>
      <c r="B6" s="3"/>
      <c r="C6" s="3"/>
      <c r="D6" s="3"/>
      <c r="E6" s="3"/>
      <c r="F6" s="3"/>
      <c r="G6" s="4" t="s">
        <v>4</v>
      </c>
      <c r="H6" s="3"/>
      <c r="I6" s="3"/>
      <c r="J6" s="3"/>
      <c r="K6" s="3"/>
      <c r="L6" s="3"/>
      <c r="M6" s="3"/>
      <c r="N6" s="3"/>
      <c r="O6" s="3"/>
      <c r="P6" s="3"/>
      <c r="Q6" s="3"/>
      <c r="R6" s="3"/>
    </row>
    <row r="7" spans="1:18" ht="15.6">
      <c r="A7" s="3"/>
      <c r="B7" s="4" t="s">
        <v>5</v>
      </c>
      <c r="C7" s="3"/>
      <c r="D7" s="3"/>
      <c r="E7" s="3"/>
      <c r="F7" s="3"/>
      <c r="G7" s="3"/>
      <c r="H7" s="4" t="s">
        <v>6</v>
      </c>
      <c r="I7" s="3"/>
      <c r="J7" s="3"/>
      <c r="K7" s="3"/>
      <c r="L7" s="3"/>
      <c r="M7" s="3"/>
      <c r="N7" s="3"/>
      <c r="O7" s="3"/>
      <c r="P7" s="3"/>
      <c r="Q7" s="3"/>
      <c r="R7" s="3"/>
    </row>
    <row r="8" spans="1:18" ht="15.6">
      <c r="A8" s="3"/>
      <c r="B8" s="4" t="s">
        <v>7</v>
      </c>
      <c r="C8" s="3"/>
      <c r="D8" s="3"/>
      <c r="E8" s="3"/>
      <c r="F8" s="3"/>
      <c r="G8" s="3"/>
      <c r="H8" s="4" t="s">
        <v>8</v>
      </c>
      <c r="I8" s="3"/>
      <c r="J8" s="3"/>
      <c r="K8" s="3"/>
      <c r="L8" s="3"/>
      <c r="M8" s="3"/>
      <c r="N8" s="3"/>
      <c r="O8" s="3"/>
      <c r="P8" s="3"/>
      <c r="Q8" s="3"/>
      <c r="R8" s="3"/>
    </row>
    <row r="9" spans="1:18" ht="15.6">
      <c r="A9" s="3"/>
      <c r="B9" s="3"/>
      <c r="C9" s="3"/>
      <c r="D9" s="3"/>
      <c r="E9" s="3"/>
      <c r="F9" s="3"/>
      <c r="G9" s="3"/>
      <c r="H9" s="4" t="s">
        <v>9</v>
      </c>
      <c r="I9" s="3"/>
      <c r="J9" s="3"/>
      <c r="K9" s="3"/>
      <c r="L9" s="3"/>
      <c r="M9" s="3"/>
      <c r="N9" s="3"/>
      <c r="O9" s="3"/>
      <c r="P9" s="3"/>
      <c r="Q9" s="3"/>
      <c r="R9" s="3"/>
    </row>
    <row r="10" spans="1:18" ht="15.6">
      <c r="A10" s="4" t="s">
        <v>10</v>
      </c>
      <c r="B10" s="3"/>
      <c r="C10" s="3"/>
      <c r="D10" s="3"/>
      <c r="E10" s="3"/>
      <c r="F10" s="3"/>
      <c r="G10" s="3"/>
      <c r="H10" s="4" t="s">
        <v>11</v>
      </c>
      <c r="I10" s="3"/>
      <c r="J10" s="3"/>
      <c r="K10" s="3"/>
      <c r="L10" s="3"/>
      <c r="M10" s="3"/>
      <c r="N10" s="3"/>
      <c r="O10" s="3"/>
      <c r="P10" s="3"/>
      <c r="Q10" s="3"/>
      <c r="R10" s="3"/>
    </row>
    <row r="11" spans="1:18" ht="15.6">
      <c r="A11" s="3"/>
      <c r="B11" s="4" t="s">
        <v>12</v>
      </c>
      <c r="C11" s="3"/>
      <c r="D11" s="3"/>
      <c r="E11" s="3"/>
      <c r="F11" s="3"/>
      <c r="G11" s="3"/>
      <c r="H11" s="3"/>
      <c r="I11" s="3"/>
      <c r="J11" s="3"/>
      <c r="K11" s="3"/>
      <c r="L11" s="3"/>
      <c r="M11" s="3"/>
      <c r="N11" s="3"/>
      <c r="O11" s="3"/>
      <c r="P11" s="3"/>
      <c r="Q11" s="3"/>
      <c r="R11" s="3"/>
    </row>
    <row r="12" spans="1:18" ht="18">
      <c r="A12" s="3"/>
      <c r="B12" s="4" t="s">
        <v>13</v>
      </c>
      <c r="C12" s="3"/>
      <c r="D12" s="3"/>
      <c r="E12" s="3"/>
      <c r="F12" s="3"/>
      <c r="G12" s="3"/>
      <c r="H12" s="3"/>
      <c r="I12" s="3"/>
      <c r="J12" s="3"/>
      <c r="K12" s="5" t="s">
        <v>14</v>
      </c>
      <c r="L12" s="5"/>
      <c r="M12" s="5"/>
      <c r="N12" s="5"/>
      <c r="O12" s="6"/>
      <c r="P12" s="7" t="s">
        <v>15</v>
      </c>
      <c r="Q12" s="7"/>
      <c r="R12" s="7"/>
    </row>
    <row r="13" spans="1:18" ht="15.6">
      <c r="A13" s="3"/>
      <c r="B13" s="4"/>
      <c r="C13" s="3"/>
      <c r="D13" s="3"/>
      <c r="E13" s="3"/>
      <c r="F13" s="3"/>
      <c r="G13" s="3"/>
      <c r="H13" s="3"/>
      <c r="I13" s="3"/>
      <c r="J13" s="3"/>
      <c r="K13" s="8" t="s">
        <v>16</v>
      </c>
      <c r="L13" s="9" t="s">
        <v>17</v>
      </c>
      <c r="M13" s="9"/>
      <c r="N13" s="9"/>
      <c r="O13" s="10"/>
      <c r="P13" s="11"/>
      <c r="Q13" s="42"/>
      <c r="R13" s="42"/>
    </row>
    <row r="14" spans="1:18" ht="15.6">
      <c r="A14" s="32" t="s">
        <v>18</v>
      </c>
      <c r="B14" s="33"/>
      <c r="C14" s="32" t="s">
        <v>19</v>
      </c>
      <c r="D14" s="33"/>
      <c r="E14" s="32" t="s">
        <v>20</v>
      </c>
      <c r="F14" s="33"/>
      <c r="G14" s="32" t="s">
        <v>21</v>
      </c>
      <c r="H14" s="41"/>
      <c r="I14" s="33"/>
      <c r="J14" s="3"/>
      <c r="K14" s="8"/>
      <c r="L14" s="9"/>
      <c r="M14" s="9"/>
      <c r="N14" s="9"/>
      <c r="O14" s="12"/>
      <c r="P14" s="11"/>
      <c r="Q14" s="42"/>
      <c r="R14" s="42"/>
    </row>
    <row r="15" spans="1:18" ht="18">
      <c r="A15" s="34" t="s">
        <v>22</v>
      </c>
      <c r="B15" s="35"/>
      <c r="C15" s="32" t="s">
        <v>23</v>
      </c>
      <c r="D15" s="33"/>
      <c r="E15" s="32" t="s">
        <v>24</v>
      </c>
      <c r="F15" s="33"/>
      <c r="G15" s="38" t="s">
        <v>25</v>
      </c>
      <c r="H15" s="39"/>
      <c r="I15" s="40"/>
      <c r="J15" s="4"/>
      <c r="K15" s="13" t="s">
        <v>26</v>
      </c>
      <c r="L15" s="14" t="s">
        <v>27</v>
      </c>
      <c r="M15" s="14"/>
      <c r="N15" s="14"/>
      <c r="O15" s="15"/>
      <c r="P15" s="27" t="s">
        <v>28</v>
      </c>
      <c r="Q15" s="5"/>
      <c r="R15" s="5"/>
    </row>
    <row r="16" spans="1:18" ht="18">
      <c r="A16" s="34" t="s">
        <v>29</v>
      </c>
      <c r="B16" s="35"/>
      <c r="C16" s="32" t="s">
        <v>30</v>
      </c>
      <c r="D16" s="33"/>
      <c r="E16" s="32" t="s">
        <v>31</v>
      </c>
      <c r="F16" s="33"/>
      <c r="G16" s="38" t="s">
        <v>32</v>
      </c>
      <c r="H16" s="39"/>
      <c r="I16" s="40"/>
      <c r="J16" s="4"/>
      <c r="K16" s="13" t="s">
        <v>33</v>
      </c>
      <c r="L16" s="14" t="s">
        <v>34</v>
      </c>
      <c r="M16" s="14"/>
      <c r="N16" s="14"/>
      <c r="O16" s="15"/>
      <c r="P16" s="27" t="s">
        <v>35</v>
      </c>
      <c r="Q16" s="5"/>
      <c r="R16" s="5"/>
    </row>
    <row r="17" spans="1:18" ht="18">
      <c r="A17" s="34" t="s">
        <v>36</v>
      </c>
      <c r="B17" s="35"/>
      <c r="C17" s="32" t="s">
        <v>37</v>
      </c>
      <c r="D17" s="33"/>
      <c r="E17" s="32" t="s">
        <v>38</v>
      </c>
      <c r="F17" s="33"/>
      <c r="G17" s="29"/>
      <c r="H17" s="30"/>
      <c r="I17" s="31"/>
      <c r="J17" s="4"/>
      <c r="K17" s="13" t="s">
        <v>39</v>
      </c>
      <c r="L17" s="14" t="s">
        <v>40</v>
      </c>
      <c r="M17" s="14"/>
      <c r="N17" s="14"/>
      <c r="O17" s="15"/>
      <c r="P17" s="37" t="s">
        <v>41</v>
      </c>
      <c r="Q17" s="16"/>
      <c r="R17" s="16"/>
    </row>
    <row r="18" spans="1:18" ht="18">
      <c r="A18" s="34" t="s">
        <v>42</v>
      </c>
      <c r="B18" s="35"/>
      <c r="C18" s="32" t="s">
        <v>43</v>
      </c>
      <c r="D18" s="33"/>
      <c r="E18" s="32" t="s">
        <v>44</v>
      </c>
      <c r="F18" s="33"/>
      <c r="G18" s="29"/>
      <c r="H18" s="30"/>
      <c r="I18" s="31"/>
      <c r="J18" s="4"/>
      <c r="K18" s="13" t="s">
        <v>45</v>
      </c>
      <c r="L18" s="14" t="s">
        <v>46</v>
      </c>
      <c r="M18" s="14"/>
      <c r="N18" s="14"/>
      <c r="O18" s="15"/>
      <c r="P18" s="37" t="s">
        <v>47</v>
      </c>
      <c r="Q18" s="16"/>
      <c r="R18" s="16"/>
    </row>
    <row r="19" spans="1:18" ht="18">
      <c r="A19" s="34" t="s">
        <v>48</v>
      </c>
      <c r="B19" s="35"/>
      <c r="C19" s="32" t="s">
        <v>49</v>
      </c>
      <c r="D19" s="33"/>
      <c r="E19" s="32" t="s">
        <v>50</v>
      </c>
      <c r="F19" s="33"/>
      <c r="G19" s="29"/>
      <c r="H19" s="30"/>
      <c r="I19" s="31"/>
      <c r="J19" s="4"/>
      <c r="K19" s="13" t="s">
        <v>51</v>
      </c>
      <c r="L19" s="14" t="s">
        <v>52</v>
      </c>
      <c r="M19" s="14"/>
      <c r="N19" s="14"/>
      <c r="O19" s="15"/>
      <c r="P19" s="37"/>
      <c r="Q19" s="16"/>
      <c r="R19" s="16"/>
    </row>
    <row r="20" spans="1:18" ht="15.6">
      <c r="A20" s="34" t="s">
        <v>53</v>
      </c>
      <c r="B20" s="35"/>
      <c r="C20" s="32" t="s">
        <v>54</v>
      </c>
      <c r="D20" s="33"/>
      <c r="E20" s="32" t="s">
        <v>55</v>
      </c>
      <c r="F20" s="33"/>
      <c r="G20" s="29"/>
      <c r="H20" s="30"/>
      <c r="I20" s="31"/>
      <c r="J20" s="4"/>
      <c r="K20" s="13" t="s">
        <v>56</v>
      </c>
      <c r="L20" s="14" t="s">
        <v>57</v>
      </c>
      <c r="M20" s="14"/>
      <c r="N20" s="14"/>
      <c r="O20" s="15"/>
      <c r="P20" s="36"/>
      <c r="Q20" s="14"/>
      <c r="R20" s="14"/>
    </row>
    <row r="21" spans="1:18" ht="15.6">
      <c r="A21" s="34" t="s">
        <v>58</v>
      </c>
      <c r="B21" s="35"/>
      <c r="C21" s="32" t="s">
        <v>59</v>
      </c>
      <c r="D21" s="33"/>
      <c r="E21" s="32" t="s">
        <v>60</v>
      </c>
      <c r="F21" s="33"/>
      <c r="G21" s="29"/>
      <c r="H21" s="30"/>
      <c r="I21" s="31"/>
      <c r="J21" s="4"/>
      <c r="K21" s="13" t="s">
        <v>61</v>
      </c>
      <c r="L21" s="14" t="s">
        <v>62</v>
      </c>
      <c r="M21" s="14"/>
      <c r="N21" s="14"/>
      <c r="O21" s="15"/>
      <c r="P21" s="28"/>
      <c r="Q21" s="17"/>
      <c r="R21" s="17"/>
    </row>
    <row r="22" spans="1:18" ht="15.6">
      <c r="A22" s="34" t="s">
        <v>63</v>
      </c>
      <c r="B22" s="35"/>
      <c r="C22" s="32" t="s">
        <v>64</v>
      </c>
      <c r="D22" s="33"/>
      <c r="E22" s="32" t="s">
        <v>65</v>
      </c>
      <c r="F22" s="33"/>
      <c r="G22" s="29"/>
      <c r="H22" s="30"/>
      <c r="I22" s="31"/>
      <c r="J22" s="4"/>
      <c r="K22" s="13" t="s">
        <v>66</v>
      </c>
      <c r="L22" s="14" t="s">
        <v>67</v>
      </c>
      <c r="M22" s="14"/>
      <c r="N22" s="14"/>
      <c r="O22" s="15"/>
      <c r="P22" s="28"/>
      <c r="Q22" s="17"/>
      <c r="R22" s="17"/>
    </row>
    <row r="23" spans="1:18" ht="15.6">
      <c r="A23" s="34" t="s">
        <v>68</v>
      </c>
      <c r="B23" s="35"/>
      <c r="C23" s="32" t="s">
        <v>69</v>
      </c>
      <c r="D23" s="33"/>
      <c r="E23" s="32" t="s">
        <v>70</v>
      </c>
      <c r="F23" s="33"/>
      <c r="G23" s="29"/>
      <c r="H23" s="30"/>
      <c r="I23" s="31"/>
      <c r="J23" s="4"/>
      <c r="K23" s="13" t="s">
        <v>71</v>
      </c>
      <c r="L23" s="14" t="s">
        <v>72</v>
      </c>
      <c r="M23" s="14"/>
      <c r="N23" s="14"/>
      <c r="O23" s="15"/>
      <c r="P23" s="28"/>
      <c r="Q23" s="17"/>
      <c r="R23" s="17"/>
    </row>
    <row r="24" spans="1:18" ht="18">
      <c r="A24" s="18" t="s">
        <v>73</v>
      </c>
      <c r="B24" s="18"/>
      <c r="C24" s="4"/>
      <c r="D24" s="4"/>
      <c r="E24" s="4"/>
      <c r="F24" s="4"/>
      <c r="G24" s="4"/>
      <c r="H24" s="4"/>
      <c r="I24" s="4"/>
      <c r="J24" s="4"/>
      <c r="K24" s="13" t="s">
        <v>74</v>
      </c>
      <c r="L24" s="14" t="s">
        <v>75</v>
      </c>
      <c r="M24" s="14"/>
      <c r="N24" s="14"/>
      <c r="O24" s="15"/>
      <c r="P24" s="19"/>
      <c r="Q24" s="20"/>
      <c r="R24" s="3"/>
    </row>
    <row r="25" spans="1:18" ht="15.6">
      <c r="A25" s="21" t="s">
        <v>76</v>
      </c>
      <c r="B25" s="14" t="s">
        <v>77</v>
      </c>
      <c r="C25" s="14"/>
      <c r="D25" s="14"/>
      <c r="E25" s="4"/>
      <c r="F25" s="4"/>
      <c r="G25" s="4"/>
      <c r="H25" s="4"/>
      <c r="I25" s="4"/>
      <c r="J25" s="4"/>
      <c r="K25" s="13" t="s">
        <v>78</v>
      </c>
      <c r="L25" s="14" t="s">
        <v>79</v>
      </c>
      <c r="M25" s="14"/>
      <c r="N25" s="14"/>
      <c r="O25" s="15"/>
      <c r="P25" s="27" t="s">
        <v>80</v>
      </c>
      <c r="Q25" s="5"/>
      <c r="R25" s="5"/>
    </row>
    <row r="26" spans="1:18" ht="15.6">
      <c r="A26" s="21" t="s">
        <v>81</v>
      </c>
      <c r="B26" s="14" t="s">
        <v>82</v>
      </c>
      <c r="C26" s="14"/>
      <c r="D26" s="14"/>
      <c r="E26" s="4"/>
      <c r="F26" s="4"/>
      <c r="G26" s="4"/>
      <c r="H26" s="4"/>
      <c r="I26" s="4"/>
      <c r="J26" s="4"/>
      <c r="K26" s="13" t="s">
        <v>81</v>
      </c>
      <c r="L26" s="14" t="s">
        <v>83</v>
      </c>
      <c r="M26" s="14"/>
      <c r="N26" s="14"/>
      <c r="O26" s="15"/>
      <c r="P26" s="26" t="s">
        <v>84</v>
      </c>
      <c r="Q26" s="22"/>
      <c r="R26" s="22"/>
    </row>
    <row r="27" spans="1:18" ht="15.6">
      <c r="A27" s="21" t="s">
        <v>85</v>
      </c>
      <c r="B27" s="14" t="s">
        <v>86</v>
      </c>
      <c r="C27" s="14"/>
      <c r="D27" s="14"/>
      <c r="E27" s="14"/>
      <c r="F27" s="4"/>
      <c r="G27" s="4"/>
      <c r="H27" s="4"/>
      <c r="I27" s="4"/>
      <c r="J27" s="4"/>
      <c r="K27" s="13" t="s">
        <v>87</v>
      </c>
      <c r="L27" s="14" t="s">
        <v>88</v>
      </c>
      <c r="M27" s="14"/>
      <c r="N27" s="14"/>
      <c r="O27" s="15"/>
      <c r="P27" s="19"/>
      <c r="Q27" s="20"/>
      <c r="R27" s="3"/>
    </row>
    <row r="28" spans="1:18" ht="18">
      <c r="A28" s="23" t="s">
        <v>89</v>
      </c>
      <c r="B28" s="14" t="s">
        <v>90</v>
      </c>
      <c r="C28" s="14"/>
      <c r="D28" s="14"/>
      <c r="E28" s="14"/>
      <c r="F28" s="4"/>
      <c r="G28" s="4"/>
      <c r="H28" s="4"/>
      <c r="I28" s="4"/>
      <c r="J28" s="4"/>
      <c r="K28" s="13" t="s">
        <v>91</v>
      </c>
      <c r="L28" s="14" t="s">
        <v>92</v>
      </c>
      <c r="M28" s="14"/>
      <c r="N28" s="14"/>
      <c r="O28" s="15"/>
      <c r="P28" s="19"/>
      <c r="Q28" s="20"/>
      <c r="R28" s="3"/>
    </row>
    <row r="29" spans="1:18" ht="18">
      <c r="A29" s="23" t="s">
        <v>93</v>
      </c>
      <c r="B29" s="14" t="s">
        <v>94</v>
      </c>
      <c r="C29" s="14"/>
      <c r="D29" s="14"/>
      <c r="E29" s="14"/>
      <c r="F29" s="4"/>
      <c r="G29" s="4"/>
      <c r="H29" s="4"/>
      <c r="I29" s="4"/>
      <c r="J29" s="4"/>
      <c r="K29" s="13" t="s">
        <v>95</v>
      </c>
      <c r="L29" s="14" t="s">
        <v>96</v>
      </c>
      <c r="M29" s="14"/>
      <c r="N29" s="14"/>
      <c r="O29" s="15"/>
      <c r="P29" s="19"/>
      <c r="Q29" s="20"/>
      <c r="R29" s="3"/>
    </row>
    <row r="30" spans="1:18" ht="15.6">
      <c r="A30" s="4"/>
      <c r="B30" s="4"/>
      <c r="C30" s="4"/>
      <c r="D30" s="4"/>
      <c r="E30" s="4"/>
      <c r="F30" s="4"/>
      <c r="G30" s="4"/>
      <c r="H30" s="4"/>
      <c r="I30" s="4"/>
      <c r="J30" s="4"/>
      <c r="K30" s="21"/>
      <c r="L30" s="14"/>
      <c r="M30" s="14"/>
      <c r="N30" s="14"/>
      <c r="O30" s="24"/>
      <c r="P30" s="19"/>
      <c r="Q30" s="20"/>
      <c r="R30" s="3"/>
    </row>
    <row r="31" spans="1:18" ht="15.6">
      <c r="A31" s="4"/>
      <c r="B31" s="4"/>
      <c r="C31" s="4"/>
      <c r="D31" s="4"/>
      <c r="E31" s="4"/>
      <c r="F31" s="4"/>
      <c r="G31" s="4"/>
      <c r="H31" s="4"/>
      <c r="I31" s="4"/>
      <c r="J31" s="4"/>
      <c r="K31" s="4"/>
      <c r="L31" s="14"/>
      <c r="M31" s="14"/>
      <c r="N31" s="14"/>
    </row>
  </sheetData>
  <mergeCells count="77">
    <mergeCell ref="L30:N31"/>
    <mergeCell ref="B27:E27"/>
    <mergeCell ref="L27:N27"/>
    <mergeCell ref="B28:E28"/>
    <mergeCell ref="L28:N28"/>
    <mergeCell ref="B29:E29"/>
    <mergeCell ref="L29:N29"/>
    <mergeCell ref="A24:B24"/>
    <mergeCell ref="L24:N24"/>
    <mergeCell ref="B25:D25"/>
    <mergeCell ref="L25:N25"/>
    <mergeCell ref="P25:R25"/>
    <mergeCell ref="B26:D26"/>
    <mergeCell ref="L26:N26"/>
    <mergeCell ref="P26:R26"/>
    <mergeCell ref="A23:B23"/>
    <mergeCell ref="C23:D23"/>
    <mergeCell ref="E23:F23"/>
    <mergeCell ref="G23:I23"/>
    <mergeCell ref="L23:N23"/>
    <mergeCell ref="P23:R23"/>
    <mergeCell ref="A22:B22"/>
    <mergeCell ref="C22:D22"/>
    <mergeCell ref="E22:F22"/>
    <mergeCell ref="G22:I22"/>
    <mergeCell ref="L22:N22"/>
    <mergeCell ref="P22:R22"/>
    <mergeCell ref="A21:B21"/>
    <mergeCell ref="C21:D21"/>
    <mergeCell ref="E21:F21"/>
    <mergeCell ref="G21:I21"/>
    <mergeCell ref="L21:N21"/>
    <mergeCell ref="P21:R21"/>
    <mergeCell ref="A20:B20"/>
    <mergeCell ref="C20:D20"/>
    <mergeCell ref="E20:F20"/>
    <mergeCell ref="G20:I20"/>
    <mergeCell ref="L20:N20"/>
    <mergeCell ref="P20:R20"/>
    <mergeCell ref="A19:B19"/>
    <mergeCell ref="C19:D19"/>
    <mergeCell ref="E19:F19"/>
    <mergeCell ref="G19:I19"/>
    <mergeCell ref="L19:N19"/>
    <mergeCell ref="P19:R19"/>
    <mergeCell ref="A18:B18"/>
    <mergeCell ref="C18:D18"/>
    <mergeCell ref="E18:F18"/>
    <mergeCell ref="G18:I18"/>
    <mergeCell ref="L18:N18"/>
    <mergeCell ref="P18:R18"/>
    <mergeCell ref="A17:B17"/>
    <mergeCell ref="C17:D17"/>
    <mergeCell ref="E17:F17"/>
    <mergeCell ref="G17:I17"/>
    <mergeCell ref="L17:N17"/>
    <mergeCell ref="P17:R17"/>
    <mergeCell ref="A16:B16"/>
    <mergeCell ref="C16:D16"/>
    <mergeCell ref="E16:F16"/>
    <mergeCell ref="G16:I16"/>
    <mergeCell ref="L16:N16"/>
    <mergeCell ref="P16:R16"/>
    <mergeCell ref="A15:B15"/>
    <mergeCell ref="C15:D15"/>
    <mergeCell ref="E15:F15"/>
    <mergeCell ref="G15:I15"/>
    <mergeCell ref="L15:N15"/>
    <mergeCell ref="P15:R15"/>
    <mergeCell ref="K12:N12"/>
    <mergeCell ref="P12:R12"/>
    <mergeCell ref="L13:N14"/>
    <mergeCell ref="P13:R14"/>
    <mergeCell ref="A14:B14"/>
    <mergeCell ref="C14:D14"/>
    <mergeCell ref="E14:F14"/>
    <mergeCell ref="G14:I14"/>
  </mergeCells>
  <pageMargins left="0.7" right="0.7" top="0.75" bottom="0.75" header="0.3" footer="0.3"/>
  <drawing r:id="rId1"/>
  <legacyDrawing r:id="rId2"/>
  <oleObjects>
    <mc:AlternateContent xmlns:mc="http://schemas.openxmlformats.org/markup-compatibility/2006">
      <mc:Choice Requires="x14">
        <oleObject progId="Equation.3" shapeId="1025" r:id="rId3">
          <objectPr defaultSize="0" autoPict="0" r:id="rId4">
            <anchor moveWithCells="1" sizeWithCells="1">
              <from>
                <xdr:col>6</xdr:col>
                <xdr:colOff>266700</xdr:colOff>
                <xdr:row>15</xdr:row>
                <xdr:rowOff>388620</xdr:rowOff>
              </from>
              <to>
                <xdr:col>8</xdr:col>
                <xdr:colOff>411480</xdr:colOff>
                <xdr:row>17</xdr:row>
                <xdr:rowOff>38100</xdr:rowOff>
              </to>
            </anchor>
          </objectPr>
        </oleObject>
      </mc:Choice>
      <mc:Fallback>
        <oleObject progId="Equation.3" shapeId="1025" r:id="rId3"/>
      </mc:Fallback>
    </mc:AlternateContent>
    <mc:AlternateContent xmlns:mc="http://schemas.openxmlformats.org/markup-compatibility/2006">
      <mc:Choice Requires="x14">
        <oleObject progId="Equation.3" shapeId="1026" r:id="rId5">
          <objectPr defaultSize="0" autoPict="0" r:id="rId6">
            <anchor moveWithCells="1" sizeWithCells="1">
              <from>
                <xdr:col>6</xdr:col>
                <xdr:colOff>182880</xdr:colOff>
                <xdr:row>16</xdr:row>
                <xdr:rowOff>411480</xdr:rowOff>
              </from>
              <to>
                <xdr:col>8</xdr:col>
                <xdr:colOff>457200</xdr:colOff>
                <xdr:row>18</xdr:row>
                <xdr:rowOff>38100</xdr:rowOff>
              </to>
            </anchor>
          </objectPr>
        </oleObject>
      </mc:Choice>
      <mc:Fallback>
        <oleObject progId="Equation.3" shapeId="1026" r:id="rId5"/>
      </mc:Fallback>
    </mc:AlternateContent>
    <mc:AlternateContent xmlns:mc="http://schemas.openxmlformats.org/markup-compatibility/2006">
      <mc:Choice Requires="x14">
        <oleObject progId="Equation.3" shapeId="1027" r:id="rId7">
          <objectPr defaultSize="0" autoPict="0" r:id="rId8">
            <anchor moveWithCells="1" sizeWithCells="1">
              <from>
                <xdr:col>6</xdr:col>
                <xdr:colOff>411480</xdr:colOff>
                <xdr:row>18</xdr:row>
                <xdr:rowOff>30480</xdr:rowOff>
              </from>
              <to>
                <xdr:col>8</xdr:col>
                <xdr:colOff>182880</xdr:colOff>
                <xdr:row>19</xdr:row>
                <xdr:rowOff>0</xdr:rowOff>
              </to>
            </anchor>
          </objectPr>
        </oleObject>
      </mc:Choice>
      <mc:Fallback>
        <oleObject progId="Equation.3" shapeId="1027" r:id="rId7"/>
      </mc:Fallback>
    </mc:AlternateContent>
    <mc:AlternateContent xmlns:mc="http://schemas.openxmlformats.org/markup-compatibility/2006">
      <mc:Choice Requires="x14">
        <oleObject progId="Equation.3" shapeId="1028" r:id="rId9">
          <objectPr defaultSize="0" autoPict="0" r:id="rId10">
            <anchor moveWithCells="1" sizeWithCells="1">
              <from>
                <xdr:col>6</xdr:col>
                <xdr:colOff>259080</xdr:colOff>
                <xdr:row>19</xdr:row>
                <xdr:rowOff>0</xdr:rowOff>
              </from>
              <to>
                <xdr:col>8</xdr:col>
                <xdr:colOff>373380</xdr:colOff>
                <xdr:row>20</xdr:row>
                <xdr:rowOff>15240</xdr:rowOff>
              </to>
            </anchor>
          </objectPr>
        </oleObject>
      </mc:Choice>
      <mc:Fallback>
        <oleObject progId="Equation.3" shapeId="1028" r:id="rId9"/>
      </mc:Fallback>
    </mc:AlternateContent>
    <mc:AlternateContent xmlns:mc="http://schemas.openxmlformats.org/markup-compatibility/2006">
      <mc:Choice Requires="x14">
        <oleObject progId="Equation.3" shapeId="1029" r:id="rId11">
          <objectPr defaultSize="0" autoPict="0" r:id="rId12">
            <anchor moveWithCells="1" sizeWithCells="1">
              <from>
                <xdr:col>5</xdr:col>
                <xdr:colOff>594360</xdr:colOff>
                <xdr:row>20</xdr:row>
                <xdr:rowOff>0</xdr:rowOff>
              </from>
              <to>
                <xdr:col>9</xdr:col>
                <xdr:colOff>38100</xdr:colOff>
                <xdr:row>21</xdr:row>
                <xdr:rowOff>7620</xdr:rowOff>
              </to>
            </anchor>
          </objectPr>
        </oleObject>
      </mc:Choice>
      <mc:Fallback>
        <oleObject progId="Equation.3" shapeId="1029" r:id="rId11"/>
      </mc:Fallback>
    </mc:AlternateContent>
    <mc:AlternateContent xmlns:mc="http://schemas.openxmlformats.org/markup-compatibility/2006">
      <mc:Choice Requires="x14">
        <oleObject progId="Equation.3" shapeId="1030" r:id="rId13">
          <objectPr defaultSize="0" autoPict="0" r:id="rId14">
            <anchor moveWithCells="1" sizeWithCells="1">
              <from>
                <xdr:col>6</xdr:col>
                <xdr:colOff>144780</xdr:colOff>
                <xdr:row>21</xdr:row>
                <xdr:rowOff>7620</xdr:rowOff>
              </from>
              <to>
                <xdr:col>8</xdr:col>
                <xdr:colOff>480060</xdr:colOff>
                <xdr:row>22</xdr:row>
                <xdr:rowOff>7620</xdr:rowOff>
              </to>
            </anchor>
          </objectPr>
        </oleObject>
      </mc:Choice>
      <mc:Fallback>
        <oleObject progId="Equation.3" shapeId="1030" r:id="rId13"/>
      </mc:Fallback>
    </mc:AlternateContent>
    <mc:AlternateContent xmlns:mc="http://schemas.openxmlformats.org/markup-compatibility/2006">
      <mc:Choice Requires="x14">
        <oleObject progId="Equation.3" shapeId="1031" r:id="rId15">
          <objectPr defaultSize="0" autoPict="0" r:id="rId16">
            <anchor moveWithCells="1" sizeWithCells="1">
              <from>
                <xdr:col>6</xdr:col>
                <xdr:colOff>236220</xdr:colOff>
                <xdr:row>22</xdr:row>
                <xdr:rowOff>0</xdr:rowOff>
              </from>
              <to>
                <xdr:col>8</xdr:col>
                <xdr:colOff>388620</xdr:colOff>
                <xdr:row>22</xdr:row>
                <xdr:rowOff>388620</xdr:rowOff>
              </to>
            </anchor>
          </objectPr>
        </oleObject>
      </mc:Choice>
      <mc:Fallback>
        <oleObject progId="Equation.3" shapeId="1031" r:id="rId15"/>
      </mc:Fallback>
    </mc:AlternateContent>
    <mc:AlternateContent xmlns:mc="http://schemas.openxmlformats.org/markup-compatibility/2006">
      <mc:Choice Requires="x14">
        <oleObject progId="Equation.3" shapeId="1032" r:id="rId17">
          <objectPr defaultSize="0" autoPict="0" r:id="rId18">
            <anchor moveWithCells="1" sizeWithCells="1">
              <from>
                <xdr:col>15</xdr:col>
                <xdr:colOff>152400</xdr:colOff>
                <xdr:row>11</xdr:row>
                <xdr:rowOff>198120</xdr:rowOff>
              </from>
              <to>
                <xdr:col>17</xdr:col>
                <xdr:colOff>464820</xdr:colOff>
                <xdr:row>14</xdr:row>
                <xdr:rowOff>30480</xdr:rowOff>
              </to>
            </anchor>
          </objectPr>
        </oleObject>
      </mc:Choice>
      <mc:Fallback>
        <oleObject progId="Equation.3" shapeId="1032" r:id="rId17"/>
      </mc:Fallback>
    </mc:AlternateContent>
    <mc:AlternateContent xmlns:mc="http://schemas.openxmlformats.org/markup-compatibility/2006">
      <mc:Choice Requires="x14">
        <oleObject progId="Equation.3" shapeId="1033" r:id="rId19">
          <objectPr defaultSize="0" autoPict="0" r:id="rId20">
            <anchor moveWithCells="1" sizeWithCells="1">
              <from>
                <xdr:col>15</xdr:col>
                <xdr:colOff>0</xdr:colOff>
                <xdr:row>17</xdr:row>
                <xdr:rowOff>403860</xdr:rowOff>
              </from>
              <to>
                <xdr:col>18</xdr:col>
                <xdr:colOff>0</xdr:colOff>
                <xdr:row>19</xdr:row>
                <xdr:rowOff>7620</xdr:rowOff>
              </to>
            </anchor>
          </objectPr>
        </oleObject>
      </mc:Choice>
      <mc:Fallback>
        <oleObject progId="Equation.3" shapeId="1033" r:id="rId19"/>
      </mc:Fallback>
    </mc:AlternateContent>
    <mc:AlternateContent xmlns:mc="http://schemas.openxmlformats.org/markup-compatibility/2006">
      <mc:Choice Requires="x14">
        <oleObject progId="Equation.3" shapeId="1034" r:id="rId21">
          <objectPr defaultSize="0" autoPict="0" r:id="rId22">
            <anchor moveWithCells="1" sizeWithCells="1">
              <from>
                <xdr:col>15</xdr:col>
                <xdr:colOff>7620</xdr:colOff>
                <xdr:row>19</xdr:row>
                <xdr:rowOff>0</xdr:rowOff>
              </from>
              <to>
                <xdr:col>17</xdr:col>
                <xdr:colOff>594360</xdr:colOff>
                <xdr:row>20</xdr:row>
                <xdr:rowOff>7620</xdr:rowOff>
              </to>
            </anchor>
          </objectPr>
        </oleObject>
      </mc:Choice>
      <mc:Fallback>
        <oleObject progId="Equation.3" shapeId="1034" r:id="rId21"/>
      </mc:Fallback>
    </mc:AlternateContent>
    <mc:AlternateContent xmlns:mc="http://schemas.openxmlformats.org/markup-compatibility/2006">
      <mc:Choice Requires="x14">
        <oleObject progId="Equation.3" shapeId="1035" r:id="rId23">
          <objectPr defaultSize="0" autoPict="0" r:id="rId24">
            <anchor moveWithCells="1" sizeWithCells="1">
              <from>
                <xdr:col>15</xdr:col>
                <xdr:colOff>7620</xdr:colOff>
                <xdr:row>19</xdr:row>
                <xdr:rowOff>419100</xdr:rowOff>
              </from>
              <to>
                <xdr:col>18</xdr:col>
                <xdr:colOff>0</xdr:colOff>
                <xdr:row>21</xdr:row>
                <xdr:rowOff>30480</xdr:rowOff>
              </to>
            </anchor>
          </objectPr>
        </oleObject>
      </mc:Choice>
      <mc:Fallback>
        <oleObject progId="Equation.3" shapeId="1035" r:id="rId23"/>
      </mc:Fallback>
    </mc:AlternateContent>
    <mc:AlternateContent xmlns:mc="http://schemas.openxmlformats.org/markup-compatibility/2006">
      <mc:Choice Requires="x14">
        <oleObject progId="Equation.3" shapeId="1036" r:id="rId25">
          <objectPr defaultSize="0" autoPict="0" r:id="rId26">
            <anchor moveWithCells="1" sizeWithCells="1">
              <from>
                <xdr:col>15</xdr:col>
                <xdr:colOff>0</xdr:colOff>
                <xdr:row>21</xdr:row>
                <xdr:rowOff>0</xdr:rowOff>
              </from>
              <to>
                <xdr:col>18</xdr:col>
                <xdr:colOff>0</xdr:colOff>
                <xdr:row>22</xdr:row>
                <xdr:rowOff>45720</xdr:rowOff>
              </to>
            </anchor>
          </objectPr>
        </oleObject>
      </mc:Choice>
      <mc:Fallback>
        <oleObject progId="Equation.3" shapeId="1036" r:id="rId25"/>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729FF-A129-4113-9FAD-B5EBF609607A}">
  <dimension ref="A1:L43"/>
  <sheetViews>
    <sheetView workbookViewId="0">
      <selection sqref="A1:XFD1048576"/>
    </sheetView>
  </sheetViews>
  <sheetFormatPr defaultRowHeight="14.4"/>
  <cols>
    <col min="4" max="4" width="10.6640625" customWidth="1"/>
    <col min="9" max="9" width="10.5546875" customWidth="1"/>
    <col min="12" max="12" width="9.6640625" hidden="1" customWidth="1"/>
    <col min="260" max="260" width="10.6640625" customWidth="1"/>
    <col min="265" max="265" width="10.5546875" customWidth="1"/>
    <col min="268" max="268" width="0" hidden="1" customWidth="1"/>
    <col min="516" max="516" width="10.6640625" customWidth="1"/>
    <col min="521" max="521" width="10.5546875" customWidth="1"/>
    <col min="524" max="524" width="0" hidden="1" customWidth="1"/>
    <col min="772" max="772" width="10.6640625" customWidth="1"/>
    <col min="777" max="777" width="10.5546875" customWidth="1"/>
    <col min="780" max="780" width="0" hidden="1" customWidth="1"/>
    <col min="1028" max="1028" width="10.6640625" customWidth="1"/>
    <col min="1033" max="1033" width="10.5546875" customWidth="1"/>
    <col min="1036" max="1036" width="0" hidden="1" customWidth="1"/>
    <col min="1284" max="1284" width="10.6640625" customWidth="1"/>
    <col min="1289" max="1289" width="10.5546875" customWidth="1"/>
    <col min="1292" max="1292" width="0" hidden="1" customWidth="1"/>
    <col min="1540" max="1540" width="10.6640625" customWidth="1"/>
    <col min="1545" max="1545" width="10.5546875" customWidth="1"/>
    <col min="1548" max="1548" width="0" hidden="1" customWidth="1"/>
    <col min="1796" max="1796" width="10.6640625" customWidth="1"/>
    <col min="1801" max="1801" width="10.5546875" customWidth="1"/>
    <col min="1804" max="1804" width="0" hidden="1" customWidth="1"/>
    <col min="2052" max="2052" width="10.6640625" customWidth="1"/>
    <col min="2057" max="2057" width="10.5546875" customWidth="1"/>
    <col min="2060" max="2060" width="0" hidden="1" customWidth="1"/>
    <col min="2308" max="2308" width="10.6640625" customWidth="1"/>
    <col min="2313" max="2313" width="10.5546875" customWidth="1"/>
    <col min="2316" max="2316" width="0" hidden="1" customWidth="1"/>
    <col min="2564" max="2564" width="10.6640625" customWidth="1"/>
    <col min="2569" max="2569" width="10.5546875" customWidth="1"/>
    <col min="2572" max="2572" width="0" hidden="1" customWidth="1"/>
    <col min="2820" max="2820" width="10.6640625" customWidth="1"/>
    <col min="2825" max="2825" width="10.5546875" customWidth="1"/>
    <col min="2828" max="2828" width="0" hidden="1" customWidth="1"/>
    <col min="3076" max="3076" width="10.6640625" customWidth="1"/>
    <col min="3081" max="3081" width="10.5546875" customWidth="1"/>
    <col min="3084" max="3084" width="0" hidden="1" customWidth="1"/>
    <col min="3332" max="3332" width="10.6640625" customWidth="1"/>
    <col min="3337" max="3337" width="10.5546875" customWidth="1"/>
    <col min="3340" max="3340" width="0" hidden="1" customWidth="1"/>
    <col min="3588" max="3588" width="10.6640625" customWidth="1"/>
    <col min="3593" max="3593" width="10.5546875" customWidth="1"/>
    <col min="3596" max="3596" width="0" hidden="1" customWidth="1"/>
    <col min="3844" max="3844" width="10.6640625" customWidth="1"/>
    <col min="3849" max="3849" width="10.5546875" customWidth="1"/>
    <col min="3852" max="3852" width="0" hidden="1" customWidth="1"/>
    <col min="4100" max="4100" width="10.6640625" customWidth="1"/>
    <col min="4105" max="4105" width="10.5546875" customWidth="1"/>
    <col min="4108" max="4108" width="0" hidden="1" customWidth="1"/>
    <col min="4356" max="4356" width="10.6640625" customWidth="1"/>
    <col min="4361" max="4361" width="10.5546875" customWidth="1"/>
    <col min="4364" max="4364" width="0" hidden="1" customWidth="1"/>
    <col min="4612" max="4612" width="10.6640625" customWidth="1"/>
    <col min="4617" max="4617" width="10.5546875" customWidth="1"/>
    <col min="4620" max="4620" width="0" hidden="1" customWidth="1"/>
    <col min="4868" max="4868" width="10.6640625" customWidth="1"/>
    <col min="4873" max="4873" width="10.5546875" customWidth="1"/>
    <col min="4876" max="4876" width="0" hidden="1" customWidth="1"/>
    <col min="5124" max="5124" width="10.6640625" customWidth="1"/>
    <col min="5129" max="5129" width="10.5546875" customWidth="1"/>
    <col min="5132" max="5132" width="0" hidden="1" customWidth="1"/>
    <col min="5380" max="5380" width="10.6640625" customWidth="1"/>
    <col min="5385" max="5385" width="10.5546875" customWidth="1"/>
    <col min="5388" max="5388" width="0" hidden="1" customWidth="1"/>
    <col min="5636" max="5636" width="10.6640625" customWidth="1"/>
    <col min="5641" max="5641" width="10.5546875" customWidth="1"/>
    <col min="5644" max="5644" width="0" hidden="1" customWidth="1"/>
    <col min="5892" max="5892" width="10.6640625" customWidth="1"/>
    <col min="5897" max="5897" width="10.5546875" customWidth="1"/>
    <col min="5900" max="5900" width="0" hidden="1" customWidth="1"/>
    <col min="6148" max="6148" width="10.6640625" customWidth="1"/>
    <col min="6153" max="6153" width="10.5546875" customWidth="1"/>
    <col min="6156" max="6156" width="0" hidden="1" customWidth="1"/>
    <col min="6404" max="6404" width="10.6640625" customWidth="1"/>
    <col min="6409" max="6409" width="10.5546875" customWidth="1"/>
    <col min="6412" max="6412" width="0" hidden="1" customWidth="1"/>
    <col min="6660" max="6660" width="10.6640625" customWidth="1"/>
    <col min="6665" max="6665" width="10.5546875" customWidth="1"/>
    <col min="6668" max="6668" width="0" hidden="1" customWidth="1"/>
    <col min="6916" max="6916" width="10.6640625" customWidth="1"/>
    <col min="6921" max="6921" width="10.5546875" customWidth="1"/>
    <col min="6924" max="6924" width="0" hidden="1" customWidth="1"/>
    <col min="7172" max="7172" width="10.6640625" customWidth="1"/>
    <col min="7177" max="7177" width="10.5546875" customWidth="1"/>
    <col min="7180" max="7180" width="0" hidden="1" customWidth="1"/>
    <col min="7428" max="7428" width="10.6640625" customWidth="1"/>
    <col min="7433" max="7433" width="10.5546875" customWidth="1"/>
    <col min="7436" max="7436" width="0" hidden="1" customWidth="1"/>
    <col min="7684" max="7684" width="10.6640625" customWidth="1"/>
    <col min="7689" max="7689" width="10.5546875" customWidth="1"/>
    <col min="7692" max="7692" width="0" hidden="1" customWidth="1"/>
    <col min="7940" max="7940" width="10.6640625" customWidth="1"/>
    <col min="7945" max="7945" width="10.5546875" customWidth="1"/>
    <col min="7948" max="7948" width="0" hidden="1" customWidth="1"/>
    <col min="8196" max="8196" width="10.6640625" customWidth="1"/>
    <col min="8201" max="8201" width="10.5546875" customWidth="1"/>
    <col min="8204" max="8204" width="0" hidden="1" customWidth="1"/>
    <col min="8452" max="8452" width="10.6640625" customWidth="1"/>
    <col min="8457" max="8457" width="10.5546875" customWidth="1"/>
    <col min="8460" max="8460" width="0" hidden="1" customWidth="1"/>
    <col min="8708" max="8708" width="10.6640625" customWidth="1"/>
    <col min="8713" max="8713" width="10.5546875" customWidth="1"/>
    <col min="8716" max="8716" width="0" hidden="1" customWidth="1"/>
    <col min="8964" max="8964" width="10.6640625" customWidth="1"/>
    <col min="8969" max="8969" width="10.5546875" customWidth="1"/>
    <col min="8972" max="8972" width="0" hidden="1" customWidth="1"/>
    <col min="9220" max="9220" width="10.6640625" customWidth="1"/>
    <col min="9225" max="9225" width="10.5546875" customWidth="1"/>
    <col min="9228" max="9228" width="0" hidden="1" customWidth="1"/>
    <col min="9476" max="9476" width="10.6640625" customWidth="1"/>
    <col min="9481" max="9481" width="10.5546875" customWidth="1"/>
    <col min="9484" max="9484" width="0" hidden="1" customWidth="1"/>
    <col min="9732" max="9732" width="10.6640625" customWidth="1"/>
    <col min="9737" max="9737" width="10.5546875" customWidth="1"/>
    <col min="9740" max="9740" width="0" hidden="1" customWidth="1"/>
    <col min="9988" max="9988" width="10.6640625" customWidth="1"/>
    <col min="9993" max="9993" width="10.5546875" customWidth="1"/>
    <col min="9996" max="9996" width="0" hidden="1" customWidth="1"/>
    <col min="10244" max="10244" width="10.6640625" customWidth="1"/>
    <col min="10249" max="10249" width="10.5546875" customWidth="1"/>
    <col min="10252" max="10252" width="0" hidden="1" customWidth="1"/>
    <col min="10500" max="10500" width="10.6640625" customWidth="1"/>
    <col min="10505" max="10505" width="10.5546875" customWidth="1"/>
    <col min="10508" max="10508" width="0" hidden="1" customWidth="1"/>
    <col min="10756" max="10756" width="10.6640625" customWidth="1"/>
    <col min="10761" max="10761" width="10.5546875" customWidth="1"/>
    <col min="10764" max="10764" width="0" hidden="1" customWidth="1"/>
    <col min="11012" max="11012" width="10.6640625" customWidth="1"/>
    <col min="11017" max="11017" width="10.5546875" customWidth="1"/>
    <col min="11020" max="11020" width="0" hidden="1" customWidth="1"/>
    <col min="11268" max="11268" width="10.6640625" customWidth="1"/>
    <col min="11273" max="11273" width="10.5546875" customWidth="1"/>
    <col min="11276" max="11276" width="0" hidden="1" customWidth="1"/>
    <col min="11524" max="11524" width="10.6640625" customWidth="1"/>
    <col min="11529" max="11529" width="10.5546875" customWidth="1"/>
    <col min="11532" max="11532" width="0" hidden="1" customWidth="1"/>
    <col min="11780" max="11780" width="10.6640625" customWidth="1"/>
    <col min="11785" max="11785" width="10.5546875" customWidth="1"/>
    <col min="11788" max="11788" width="0" hidden="1" customWidth="1"/>
    <col min="12036" max="12036" width="10.6640625" customWidth="1"/>
    <col min="12041" max="12041" width="10.5546875" customWidth="1"/>
    <col min="12044" max="12044" width="0" hidden="1" customWidth="1"/>
    <col min="12292" max="12292" width="10.6640625" customWidth="1"/>
    <col min="12297" max="12297" width="10.5546875" customWidth="1"/>
    <col min="12300" max="12300" width="0" hidden="1" customWidth="1"/>
    <col min="12548" max="12548" width="10.6640625" customWidth="1"/>
    <col min="12553" max="12553" width="10.5546875" customWidth="1"/>
    <col min="12556" max="12556" width="0" hidden="1" customWidth="1"/>
    <col min="12804" max="12804" width="10.6640625" customWidth="1"/>
    <col min="12809" max="12809" width="10.5546875" customWidth="1"/>
    <col min="12812" max="12812" width="0" hidden="1" customWidth="1"/>
    <col min="13060" max="13060" width="10.6640625" customWidth="1"/>
    <col min="13065" max="13065" width="10.5546875" customWidth="1"/>
    <col min="13068" max="13068" width="0" hidden="1" customWidth="1"/>
    <col min="13316" max="13316" width="10.6640625" customWidth="1"/>
    <col min="13321" max="13321" width="10.5546875" customWidth="1"/>
    <col min="13324" max="13324" width="0" hidden="1" customWidth="1"/>
    <col min="13572" max="13572" width="10.6640625" customWidth="1"/>
    <col min="13577" max="13577" width="10.5546875" customWidth="1"/>
    <col min="13580" max="13580" width="0" hidden="1" customWidth="1"/>
    <col min="13828" max="13828" width="10.6640625" customWidth="1"/>
    <col min="13833" max="13833" width="10.5546875" customWidth="1"/>
    <col min="13836" max="13836" width="0" hidden="1" customWidth="1"/>
    <col min="14084" max="14084" width="10.6640625" customWidth="1"/>
    <col min="14089" max="14089" width="10.5546875" customWidth="1"/>
    <col min="14092" max="14092" width="0" hidden="1" customWidth="1"/>
    <col min="14340" max="14340" width="10.6640625" customWidth="1"/>
    <col min="14345" max="14345" width="10.5546875" customWidth="1"/>
    <col min="14348" max="14348" width="0" hidden="1" customWidth="1"/>
    <col min="14596" max="14596" width="10.6640625" customWidth="1"/>
    <col min="14601" max="14601" width="10.5546875" customWidth="1"/>
    <col min="14604" max="14604" width="0" hidden="1" customWidth="1"/>
    <col min="14852" max="14852" width="10.6640625" customWidth="1"/>
    <col min="14857" max="14857" width="10.5546875" customWidth="1"/>
    <col min="14860" max="14860" width="0" hidden="1" customWidth="1"/>
    <col min="15108" max="15108" width="10.6640625" customWidth="1"/>
    <col min="15113" max="15113" width="10.5546875" customWidth="1"/>
    <col min="15116" max="15116" width="0" hidden="1" customWidth="1"/>
    <col min="15364" max="15364" width="10.6640625" customWidth="1"/>
    <col min="15369" max="15369" width="10.5546875" customWidth="1"/>
    <col min="15372" max="15372" width="0" hidden="1" customWidth="1"/>
    <col min="15620" max="15620" width="10.6640625" customWidth="1"/>
    <col min="15625" max="15625" width="10.5546875" customWidth="1"/>
    <col min="15628" max="15628" width="0" hidden="1" customWidth="1"/>
    <col min="15876" max="15876" width="10.6640625" customWidth="1"/>
    <col min="15881" max="15881" width="10.5546875" customWidth="1"/>
    <col min="15884" max="15884" width="0" hidden="1" customWidth="1"/>
    <col min="16132" max="16132" width="10.6640625" customWidth="1"/>
    <col min="16137" max="16137" width="10.5546875" customWidth="1"/>
    <col min="16140" max="16140" width="0" hidden="1" customWidth="1"/>
  </cols>
  <sheetData>
    <row r="1" spans="1:12" ht="17.399999999999999">
      <c r="D1" s="43" t="s">
        <v>185</v>
      </c>
    </row>
    <row r="2" spans="1:12" ht="17.399999999999999">
      <c r="D2" s="43" t="s">
        <v>186</v>
      </c>
    </row>
    <row r="3" spans="1:12" ht="12.75" customHeight="1">
      <c r="D3" s="43"/>
    </row>
    <row r="4" spans="1:12">
      <c r="L4">
        <v>8</v>
      </c>
    </row>
    <row r="5" spans="1:12">
      <c r="B5" s="44" t="s">
        <v>187</v>
      </c>
      <c r="C5" s="45"/>
      <c r="D5" s="45"/>
      <c r="E5" s="45"/>
      <c r="F5" s="45"/>
      <c r="G5" s="45"/>
      <c r="H5" s="45"/>
      <c r="I5" s="46"/>
    </row>
    <row r="6" spans="1:12">
      <c r="B6" s="47" t="str">
        <f>"need $"&amp;$L$7&amp;" in start-up funds now for equipment and $"&amp;$L$8&amp;" per year for operating costs."</f>
        <v>need $15000 in start-up funds now for equipment and $7000 per year for operating costs.</v>
      </c>
      <c r="C6" s="48"/>
      <c r="D6" s="48"/>
      <c r="E6" s="48"/>
      <c r="F6" s="48"/>
      <c r="G6" s="48"/>
      <c r="H6" s="85"/>
      <c r="I6" s="50"/>
      <c r="L6" s="70">
        <v>180</v>
      </c>
    </row>
    <row r="7" spans="1:12">
      <c r="B7" s="47" t="str">
        <f>"They assure you that their internet business will be successful, and promise you a future"</f>
        <v>They assure you that their internet business will be successful, and promise you a future</v>
      </c>
      <c r="C7" s="86"/>
      <c r="D7" s="48"/>
      <c r="E7" s="48"/>
      <c r="F7" s="48"/>
      <c r="G7" s="48"/>
      <c r="H7" s="48"/>
      <c r="I7" s="50"/>
      <c r="L7" s="128">
        <v>15000</v>
      </c>
    </row>
    <row r="8" spans="1:12">
      <c r="B8" s="47" t="str">
        <f>"return of $"&amp;$L$6&amp;",000.  If this is true, what rate of return will you make if the future"</f>
        <v>return of $180,000.  If this is true, what rate of return will you make if the future</v>
      </c>
      <c r="C8" s="48"/>
      <c r="D8" s="48"/>
      <c r="E8" s="48"/>
      <c r="F8" s="48"/>
      <c r="G8" s="48"/>
      <c r="H8" s="48"/>
      <c r="I8" s="50"/>
      <c r="L8" s="128">
        <v>7000</v>
      </c>
    </row>
    <row r="9" spans="1:12">
      <c r="B9" s="185" t="str">
        <f>"return is achieved in "&amp;$L$4&amp;" years?"</f>
        <v>return is achieved in 8 years?</v>
      </c>
      <c r="C9" s="186"/>
      <c r="D9" s="52"/>
      <c r="E9" s="52"/>
      <c r="F9" s="52"/>
      <c r="G9" s="52"/>
      <c r="H9" s="52"/>
      <c r="I9" s="54"/>
      <c r="L9">
        <v>16</v>
      </c>
    </row>
    <row r="10" spans="1:12">
      <c r="F10" s="187"/>
      <c r="L10" s="65">
        <f>L9/100</f>
        <v>0.16</v>
      </c>
    </row>
    <row r="11" spans="1:12">
      <c r="C11" s="63"/>
    </row>
    <row r="12" spans="1:12" ht="15.6">
      <c r="A12" s="55" t="s">
        <v>118</v>
      </c>
      <c r="B12" s="87" t="s">
        <v>119</v>
      </c>
      <c r="C12" s="60" t="s">
        <v>188</v>
      </c>
      <c r="D12" s="57"/>
      <c r="E12" s="57"/>
      <c r="F12" s="57"/>
      <c r="G12" s="57"/>
      <c r="H12" s="57"/>
      <c r="I12" s="58"/>
      <c r="L12">
        <v>0</v>
      </c>
    </row>
    <row r="13" spans="1:12" ht="15.6">
      <c r="A13" s="8"/>
      <c r="B13" s="88" t="s">
        <v>119</v>
      </c>
      <c r="C13" s="60" t="str">
        <f>IF(L12=1,"Enter an initial guess of 10 years in cell D22.","Enter an initial guess of 10% in cell D21.")</f>
        <v>Enter an initial guess of 10% in cell D21.</v>
      </c>
      <c r="I13" s="61"/>
    </row>
    <row r="14" spans="1:12" ht="15.6">
      <c r="A14" s="8"/>
      <c r="B14" s="88" t="s">
        <v>119</v>
      </c>
      <c r="C14" s="60" t="s">
        <v>189</v>
      </c>
      <c r="I14" s="61"/>
      <c r="L14" s="47" t="str">
        <f>"return of $"&amp;$L$6&amp;",000.  If this is true, in how many years must the future return be realized"</f>
        <v>return of $180,000.  If this is true, in how many years must the future return be realized</v>
      </c>
    </row>
    <row r="15" spans="1:12" ht="15.6">
      <c r="A15" s="8"/>
      <c r="C15" s="60" t="s">
        <v>120</v>
      </c>
      <c r="I15" s="61"/>
      <c r="L15" s="185" t="str">
        <f>"for you to make a "&amp;$L$9&amp;"% annual return?"</f>
        <v>for you to make a 16% annual return?</v>
      </c>
    </row>
    <row r="16" spans="1:12" ht="15.6">
      <c r="A16" s="89" t="s">
        <v>121</v>
      </c>
      <c r="B16" s="63"/>
      <c r="C16" s="90" t="s">
        <v>122</v>
      </c>
      <c r="D16" s="63"/>
      <c r="E16" s="63"/>
      <c r="F16" s="63"/>
      <c r="G16" s="63"/>
      <c r="H16" s="63"/>
      <c r="I16" s="64"/>
    </row>
    <row r="17" spans="2:12">
      <c r="L17" s="47" t="str">
        <f>"return of $"&amp;$L$6&amp;",000.  If this is true, what rate of return will you make if the future"</f>
        <v>return of $180,000.  If this is true, what rate of return will you make if the future</v>
      </c>
    </row>
    <row r="18" spans="2:12">
      <c r="F18" s="6"/>
      <c r="G18" s="130"/>
      <c r="H18" s="92"/>
      <c r="L18" s="185" t="str">
        <f>"return is achieved in "&amp;$L$4&amp;" years?"</f>
        <v>return is achieved in 8 years?</v>
      </c>
    </row>
    <row r="19" spans="2:12">
      <c r="B19" s="161" t="s">
        <v>190</v>
      </c>
      <c r="C19" s="57"/>
      <c r="D19" s="188"/>
      <c r="H19" s="84"/>
      <c r="I19" s="189"/>
    </row>
    <row r="20" spans="2:12">
      <c r="B20" s="59" t="s">
        <v>191</v>
      </c>
      <c r="D20" s="190"/>
      <c r="H20" s="127"/>
      <c r="L20" s="142"/>
    </row>
    <row r="21" spans="2:12">
      <c r="B21" s="59" t="s">
        <v>137</v>
      </c>
      <c r="D21" s="191"/>
      <c r="G21" s="132"/>
      <c r="H21" s="84"/>
      <c r="L21" s="132"/>
    </row>
    <row r="22" spans="2:12">
      <c r="B22" s="59" t="s">
        <v>192</v>
      </c>
      <c r="C22" s="74"/>
      <c r="D22" s="192"/>
      <c r="G22" s="132"/>
      <c r="H22" s="84"/>
      <c r="L22" s="193"/>
    </row>
    <row r="23" spans="2:12">
      <c r="B23" s="59"/>
      <c r="D23" s="192"/>
      <c r="E23" s="132"/>
      <c r="G23" s="132"/>
      <c r="H23" s="84"/>
    </row>
    <row r="24" spans="2:12">
      <c r="B24" s="62" t="s">
        <v>193</v>
      </c>
      <c r="C24" s="63"/>
      <c r="D24" s="194"/>
      <c r="E24" s="132"/>
      <c r="L24" s="195"/>
    </row>
    <row r="25" spans="2:12">
      <c r="D25" s="193"/>
      <c r="E25" s="132"/>
      <c r="G25" s="65"/>
      <c r="I25" s="76"/>
      <c r="L25" s="132"/>
    </row>
    <row r="26" spans="2:12">
      <c r="B26" s="125"/>
      <c r="D26" s="131"/>
      <c r="E26" s="132"/>
      <c r="L26" s="196"/>
    </row>
    <row r="27" spans="2:12">
      <c r="E27" s="132"/>
    </row>
    <row r="28" spans="2:12">
      <c r="D28" s="132"/>
    </row>
    <row r="29" spans="2:12">
      <c r="D29" s="197"/>
      <c r="G29" s="74"/>
    </row>
    <row r="30" spans="2:12">
      <c r="C30" s="74"/>
      <c r="D30" s="132"/>
      <c r="E30" s="132"/>
    </row>
    <row r="31" spans="2:12">
      <c r="E31" s="132"/>
      <c r="G31" s="65"/>
    </row>
    <row r="32" spans="2:12">
      <c r="C32" s="74"/>
      <c r="E32" s="132"/>
    </row>
    <row r="33" spans="2:8">
      <c r="B33" s="125"/>
      <c r="C33" s="74"/>
      <c r="E33" s="132"/>
      <c r="G33" s="76"/>
      <c r="H33" s="77"/>
    </row>
    <row r="34" spans="2:8">
      <c r="C34" s="74"/>
      <c r="E34" s="132"/>
    </row>
    <row r="35" spans="2:8">
      <c r="C35" s="74"/>
      <c r="E35" s="132"/>
    </row>
    <row r="36" spans="2:8">
      <c r="C36" s="74"/>
    </row>
    <row r="37" spans="2:8">
      <c r="C37" s="74"/>
    </row>
    <row r="38" spans="2:8">
      <c r="C38" s="74"/>
    </row>
    <row r="39" spans="2:8">
      <c r="C39" s="74"/>
    </row>
    <row r="40" spans="2:8">
      <c r="C40" s="74"/>
    </row>
    <row r="41" spans="2:8">
      <c r="C41" s="74"/>
    </row>
    <row r="42" spans="2:8">
      <c r="C42" s="74"/>
    </row>
    <row r="43" spans="2:8">
      <c r="C43" s="74"/>
    </row>
  </sheetData>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8618B-108A-4D98-A4CA-3BEF85E4C2AE}">
  <dimension ref="A1:L43"/>
  <sheetViews>
    <sheetView workbookViewId="0">
      <selection sqref="A1:XFD1048576"/>
    </sheetView>
  </sheetViews>
  <sheetFormatPr defaultRowHeight="14.4"/>
  <cols>
    <col min="2" max="5" width="10.88671875" customWidth="1"/>
    <col min="8" max="8" width="5.6640625" customWidth="1"/>
    <col min="9" max="9" width="6.6640625" customWidth="1"/>
    <col min="258" max="261" width="10.88671875" customWidth="1"/>
    <col min="264" max="264" width="5.6640625" customWidth="1"/>
    <col min="265" max="265" width="6.6640625" customWidth="1"/>
    <col min="514" max="517" width="10.88671875" customWidth="1"/>
    <col min="520" max="520" width="5.6640625" customWidth="1"/>
    <col min="521" max="521" width="6.6640625" customWidth="1"/>
    <col min="770" max="773" width="10.88671875" customWidth="1"/>
    <col min="776" max="776" width="5.6640625" customWidth="1"/>
    <col min="777" max="777" width="6.6640625" customWidth="1"/>
    <col min="1026" max="1029" width="10.88671875" customWidth="1"/>
    <col min="1032" max="1032" width="5.6640625" customWidth="1"/>
    <col min="1033" max="1033" width="6.6640625" customWidth="1"/>
    <col min="1282" max="1285" width="10.88671875" customWidth="1"/>
    <col min="1288" max="1288" width="5.6640625" customWidth="1"/>
    <col min="1289" max="1289" width="6.6640625" customWidth="1"/>
    <col min="1538" max="1541" width="10.88671875" customWidth="1"/>
    <col min="1544" max="1544" width="5.6640625" customWidth="1"/>
    <col min="1545" max="1545" width="6.6640625" customWidth="1"/>
    <col min="1794" max="1797" width="10.88671875" customWidth="1"/>
    <col min="1800" max="1800" width="5.6640625" customWidth="1"/>
    <col min="1801" max="1801" width="6.6640625" customWidth="1"/>
    <col min="2050" max="2053" width="10.88671875" customWidth="1"/>
    <col min="2056" max="2056" width="5.6640625" customWidth="1"/>
    <col min="2057" max="2057" width="6.6640625" customWidth="1"/>
    <col min="2306" max="2309" width="10.88671875" customWidth="1"/>
    <col min="2312" max="2312" width="5.6640625" customWidth="1"/>
    <col min="2313" max="2313" width="6.6640625" customWidth="1"/>
    <col min="2562" max="2565" width="10.88671875" customWidth="1"/>
    <col min="2568" max="2568" width="5.6640625" customWidth="1"/>
    <col min="2569" max="2569" width="6.6640625" customWidth="1"/>
    <col min="2818" max="2821" width="10.88671875" customWidth="1"/>
    <col min="2824" max="2824" width="5.6640625" customWidth="1"/>
    <col min="2825" max="2825" width="6.6640625" customWidth="1"/>
    <col min="3074" max="3077" width="10.88671875" customWidth="1"/>
    <col min="3080" max="3080" width="5.6640625" customWidth="1"/>
    <col min="3081" max="3081" width="6.6640625" customWidth="1"/>
    <col min="3330" max="3333" width="10.88671875" customWidth="1"/>
    <col min="3336" max="3336" width="5.6640625" customWidth="1"/>
    <col min="3337" max="3337" width="6.6640625" customWidth="1"/>
    <col min="3586" max="3589" width="10.88671875" customWidth="1"/>
    <col min="3592" max="3592" width="5.6640625" customWidth="1"/>
    <col min="3593" max="3593" width="6.6640625" customWidth="1"/>
    <col min="3842" max="3845" width="10.88671875" customWidth="1"/>
    <col min="3848" max="3848" width="5.6640625" customWidth="1"/>
    <col min="3849" max="3849" width="6.6640625" customWidth="1"/>
    <col min="4098" max="4101" width="10.88671875" customWidth="1"/>
    <col min="4104" max="4104" width="5.6640625" customWidth="1"/>
    <col min="4105" max="4105" width="6.6640625" customWidth="1"/>
    <col min="4354" max="4357" width="10.88671875" customWidth="1"/>
    <col min="4360" max="4360" width="5.6640625" customWidth="1"/>
    <col min="4361" max="4361" width="6.6640625" customWidth="1"/>
    <col min="4610" max="4613" width="10.88671875" customWidth="1"/>
    <col min="4616" max="4616" width="5.6640625" customWidth="1"/>
    <col min="4617" max="4617" width="6.6640625" customWidth="1"/>
    <col min="4866" max="4869" width="10.88671875" customWidth="1"/>
    <col min="4872" max="4872" width="5.6640625" customWidth="1"/>
    <col min="4873" max="4873" width="6.6640625" customWidth="1"/>
    <col min="5122" max="5125" width="10.88671875" customWidth="1"/>
    <col min="5128" max="5128" width="5.6640625" customWidth="1"/>
    <col min="5129" max="5129" width="6.6640625" customWidth="1"/>
    <col min="5378" max="5381" width="10.88671875" customWidth="1"/>
    <col min="5384" max="5384" width="5.6640625" customWidth="1"/>
    <col min="5385" max="5385" width="6.6640625" customWidth="1"/>
    <col min="5634" max="5637" width="10.88671875" customWidth="1"/>
    <col min="5640" max="5640" width="5.6640625" customWidth="1"/>
    <col min="5641" max="5641" width="6.6640625" customWidth="1"/>
    <col min="5890" max="5893" width="10.88671875" customWidth="1"/>
    <col min="5896" max="5896" width="5.6640625" customWidth="1"/>
    <col min="5897" max="5897" width="6.6640625" customWidth="1"/>
    <col min="6146" max="6149" width="10.88671875" customWidth="1"/>
    <col min="6152" max="6152" width="5.6640625" customWidth="1"/>
    <col min="6153" max="6153" width="6.6640625" customWidth="1"/>
    <col min="6402" max="6405" width="10.88671875" customWidth="1"/>
    <col min="6408" max="6408" width="5.6640625" customWidth="1"/>
    <col min="6409" max="6409" width="6.6640625" customWidth="1"/>
    <col min="6658" max="6661" width="10.88671875" customWidth="1"/>
    <col min="6664" max="6664" width="5.6640625" customWidth="1"/>
    <col min="6665" max="6665" width="6.6640625" customWidth="1"/>
    <col min="6914" max="6917" width="10.88671875" customWidth="1"/>
    <col min="6920" max="6920" width="5.6640625" customWidth="1"/>
    <col min="6921" max="6921" width="6.6640625" customWidth="1"/>
    <col min="7170" max="7173" width="10.88671875" customWidth="1"/>
    <col min="7176" max="7176" width="5.6640625" customWidth="1"/>
    <col min="7177" max="7177" width="6.6640625" customWidth="1"/>
    <col min="7426" max="7429" width="10.88671875" customWidth="1"/>
    <col min="7432" max="7432" width="5.6640625" customWidth="1"/>
    <col min="7433" max="7433" width="6.6640625" customWidth="1"/>
    <col min="7682" max="7685" width="10.88671875" customWidth="1"/>
    <col min="7688" max="7688" width="5.6640625" customWidth="1"/>
    <col min="7689" max="7689" width="6.6640625" customWidth="1"/>
    <col min="7938" max="7941" width="10.88671875" customWidth="1"/>
    <col min="7944" max="7944" width="5.6640625" customWidth="1"/>
    <col min="7945" max="7945" width="6.6640625" customWidth="1"/>
    <col min="8194" max="8197" width="10.88671875" customWidth="1"/>
    <col min="8200" max="8200" width="5.6640625" customWidth="1"/>
    <col min="8201" max="8201" width="6.6640625" customWidth="1"/>
    <col min="8450" max="8453" width="10.88671875" customWidth="1"/>
    <col min="8456" max="8456" width="5.6640625" customWidth="1"/>
    <col min="8457" max="8457" width="6.6640625" customWidth="1"/>
    <col min="8706" max="8709" width="10.88671875" customWidth="1"/>
    <col min="8712" max="8712" width="5.6640625" customWidth="1"/>
    <col min="8713" max="8713" width="6.6640625" customWidth="1"/>
    <col min="8962" max="8965" width="10.88671875" customWidth="1"/>
    <col min="8968" max="8968" width="5.6640625" customWidth="1"/>
    <col min="8969" max="8969" width="6.6640625" customWidth="1"/>
    <col min="9218" max="9221" width="10.88671875" customWidth="1"/>
    <col min="9224" max="9224" width="5.6640625" customWidth="1"/>
    <col min="9225" max="9225" width="6.6640625" customWidth="1"/>
    <col min="9474" max="9477" width="10.88671875" customWidth="1"/>
    <col min="9480" max="9480" width="5.6640625" customWidth="1"/>
    <col min="9481" max="9481" width="6.6640625" customWidth="1"/>
    <col min="9730" max="9733" width="10.88671875" customWidth="1"/>
    <col min="9736" max="9736" width="5.6640625" customWidth="1"/>
    <col min="9737" max="9737" width="6.6640625" customWidth="1"/>
    <col min="9986" max="9989" width="10.88671875" customWidth="1"/>
    <col min="9992" max="9992" width="5.6640625" customWidth="1"/>
    <col min="9993" max="9993" width="6.6640625" customWidth="1"/>
    <col min="10242" max="10245" width="10.88671875" customWidth="1"/>
    <col min="10248" max="10248" width="5.6640625" customWidth="1"/>
    <col min="10249" max="10249" width="6.6640625" customWidth="1"/>
    <col min="10498" max="10501" width="10.88671875" customWidth="1"/>
    <col min="10504" max="10504" width="5.6640625" customWidth="1"/>
    <col min="10505" max="10505" width="6.6640625" customWidth="1"/>
    <col min="10754" max="10757" width="10.88671875" customWidth="1"/>
    <col min="10760" max="10760" width="5.6640625" customWidth="1"/>
    <col min="10761" max="10761" width="6.6640625" customWidth="1"/>
    <col min="11010" max="11013" width="10.88671875" customWidth="1"/>
    <col min="11016" max="11016" width="5.6640625" customWidth="1"/>
    <col min="11017" max="11017" width="6.6640625" customWidth="1"/>
    <col min="11266" max="11269" width="10.88671875" customWidth="1"/>
    <col min="11272" max="11272" width="5.6640625" customWidth="1"/>
    <col min="11273" max="11273" width="6.6640625" customWidth="1"/>
    <col min="11522" max="11525" width="10.88671875" customWidth="1"/>
    <col min="11528" max="11528" width="5.6640625" customWidth="1"/>
    <col min="11529" max="11529" width="6.6640625" customWidth="1"/>
    <col min="11778" max="11781" width="10.88671875" customWidth="1"/>
    <col min="11784" max="11784" width="5.6640625" customWidth="1"/>
    <col min="11785" max="11785" width="6.6640625" customWidth="1"/>
    <col min="12034" max="12037" width="10.88671875" customWidth="1"/>
    <col min="12040" max="12040" width="5.6640625" customWidth="1"/>
    <col min="12041" max="12041" width="6.6640625" customWidth="1"/>
    <col min="12290" max="12293" width="10.88671875" customWidth="1"/>
    <col min="12296" max="12296" width="5.6640625" customWidth="1"/>
    <col min="12297" max="12297" width="6.6640625" customWidth="1"/>
    <col min="12546" max="12549" width="10.88671875" customWidth="1"/>
    <col min="12552" max="12552" width="5.6640625" customWidth="1"/>
    <col min="12553" max="12553" width="6.6640625" customWidth="1"/>
    <col min="12802" max="12805" width="10.88671875" customWidth="1"/>
    <col min="12808" max="12808" width="5.6640625" customWidth="1"/>
    <col min="12809" max="12809" width="6.6640625" customWidth="1"/>
    <col min="13058" max="13061" width="10.88671875" customWidth="1"/>
    <col min="13064" max="13064" width="5.6640625" customWidth="1"/>
    <col min="13065" max="13065" width="6.6640625" customWidth="1"/>
    <col min="13314" max="13317" width="10.88671875" customWidth="1"/>
    <col min="13320" max="13320" width="5.6640625" customWidth="1"/>
    <col min="13321" max="13321" width="6.6640625" customWidth="1"/>
    <col min="13570" max="13573" width="10.88671875" customWidth="1"/>
    <col min="13576" max="13576" width="5.6640625" customWidth="1"/>
    <col min="13577" max="13577" width="6.6640625" customWidth="1"/>
    <col min="13826" max="13829" width="10.88671875" customWidth="1"/>
    <col min="13832" max="13832" width="5.6640625" customWidth="1"/>
    <col min="13833" max="13833" width="6.6640625" customWidth="1"/>
    <col min="14082" max="14085" width="10.88671875" customWidth="1"/>
    <col min="14088" max="14088" width="5.6640625" customWidth="1"/>
    <col min="14089" max="14089" width="6.6640625" customWidth="1"/>
    <col min="14338" max="14341" width="10.88671875" customWidth="1"/>
    <col min="14344" max="14344" width="5.6640625" customWidth="1"/>
    <col min="14345" max="14345" width="6.6640625" customWidth="1"/>
    <col min="14594" max="14597" width="10.88671875" customWidth="1"/>
    <col min="14600" max="14600" width="5.6640625" customWidth="1"/>
    <col min="14601" max="14601" width="6.6640625" customWidth="1"/>
    <col min="14850" max="14853" width="10.88671875" customWidth="1"/>
    <col min="14856" max="14856" width="5.6640625" customWidth="1"/>
    <col min="14857" max="14857" width="6.6640625" customWidth="1"/>
    <col min="15106" max="15109" width="10.88671875" customWidth="1"/>
    <col min="15112" max="15112" width="5.6640625" customWidth="1"/>
    <col min="15113" max="15113" width="6.6640625" customWidth="1"/>
    <col min="15362" max="15365" width="10.88671875" customWidth="1"/>
    <col min="15368" max="15368" width="5.6640625" customWidth="1"/>
    <col min="15369" max="15369" width="6.6640625" customWidth="1"/>
    <col min="15618" max="15621" width="10.88671875" customWidth="1"/>
    <col min="15624" max="15624" width="5.6640625" customWidth="1"/>
    <col min="15625" max="15625" width="6.6640625" customWidth="1"/>
    <col min="15874" max="15877" width="10.88671875" customWidth="1"/>
    <col min="15880" max="15880" width="5.6640625" customWidth="1"/>
    <col min="15881" max="15881" width="6.6640625" customWidth="1"/>
    <col min="16130" max="16133" width="10.88671875" customWidth="1"/>
    <col min="16136" max="16136" width="5.6640625" customWidth="1"/>
    <col min="16137" max="16137" width="6.6640625" customWidth="1"/>
  </cols>
  <sheetData>
    <row r="1" spans="1:12" ht="17.399999999999999">
      <c r="D1" s="43" t="str">
        <f>[9]step1!D1</f>
        <v>Indirect cost allocation</v>
      </c>
    </row>
    <row r="2" spans="1:12" ht="17.399999999999999">
      <c r="D2" s="43" t="str">
        <f>[9]step1!D2</f>
        <v>Product pricing problems</v>
      </c>
    </row>
    <row r="5" spans="1:12">
      <c r="B5" s="44" t="str">
        <f>[9]step1!B5</f>
        <v>The Paper View mill uses 3 machines to make paper products, allocating costs on</v>
      </c>
      <c r="C5" s="45"/>
      <c r="D5" s="45"/>
      <c r="E5" s="45"/>
      <c r="F5" s="45"/>
      <c r="G5" s="45"/>
      <c r="H5" s="45"/>
      <c r="I5" s="46"/>
    </row>
    <row r="6" spans="1:12">
      <c r="B6" s="47" t="str">
        <f>[9]step1!B6</f>
        <v>machine hours.  Last month the press cost $14400 for 450 hours of operation, the slicer</v>
      </c>
      <c r="C6" s="48"/>
      <c r="D6" s="48"/>
      <c r="E6" s="48"/>
      <c r="F6" s="48"/>
      <c r="G6" s="48"/>
      <c r="H6" s="49"/>
      <c r="I6" s="50"/>
    </row>
    <row r="7" spans="1:12">
      <c r="B7" s="47" t="str">
        <f>[9]step1!B7</f>
        <v>cost $4800 for 300 hours of operation, the winder cost $3000 for 150 hours of operation.</v>
      </c>
      <c r="C7" s="48"/>
      <c r="D7" s="48"/>
      <c r="E7" s="48"/>
      <c r="F7" s="48"/>
      <c r="G7" s="48"/>
      <c r="H7" s="48"/>
      <c r="I7" s="50"/>
    </row>
    <row r="8" spans="1:12">
      <c r="B8" s="47" t="str">
        <f>[9]step1!B8</f>
        <v xml:space="preserve">     Find the cost of a roll of card stock which requires 6 hours of the paper press, 4 hours</v>
      </c>
      <c r="C8" s="48"/>
      <c r="D8" s="48"/>
      <c r="E8" s="48"/>
      <c r="F8" s="48"/>
      <c r="G8" s="48"/>
      <c r="H8" s="48"/>
      <c r="I8" s="50"/>
    </row>
    <row r="9" spans="1:12">
      <c r="B9" s="47" t="str">
        <f>[9]step1!B9</f>
        <v>of the slicer, and 1 hours of the winder.  It also requires $60 worth of raw materials</v>
      </c>
      <c r="C9" s="48"/>
      <c r="D9" s="48"/>
      <c r="E9" s="48"/>
      <c r="F9" s="48"/>
      <c r="G9" s="48"/>
      <c r="H9" s="48"/>
      <c r="I9" s="50"/>
    </row>
    <row r="10" spans="1:12">
      <c r="B10" s="51" t="str">
        <f>[9]step1!B10</f>
        <v>and 7 hours of direct labor at $14 per hour.</v>
      </c>
      <c r="C10" s="52"/>
      <c r="D10" s="52"/>
      <c r="E10" s="52"/>
      <c r="F10" s="53"/>
      <c r="G10" s="52"/>
      <c r="H10" s="52"/>
      <c r="I10" s="54"/>
    </row>
    <row r="11" spans="1:12">
      <c r="L11" s="128"/>
    </row>
    <row r="12" spans="1:12" ht="15.6">
      <c r="A12" s="55" t="s">
        <v>97</v>
      </c>
      <c r="B12" s="56"/>
      <c r="C12" s="57"/>
      <c r="D12" s="57"/>
      <c r="E12" s="57"/>
      <c r="F12" s="57"/>
      <c r="G12" s="57"/>
      <c r="H12" s="57"/>
      <c r="I12" s="58"/>
      <c r="L12" s="128"/>
    </row>
    <row r="13" spans="1:12" ht="15.6">
      <c r="A13" s="59"/>
      <c r="B13" s="60" t="s">
        <v>194</v>
      </c>
      <c r="I13" s="61"/>
    </row>
    <row r="14" spans="1:12">
      <c r="A14" s="62"/>
      <c r="B14" s="63"/>
      <c r="C14" s="63"/>
      <c r="D14" s="63"/>
      <c r="E14" s="63"/>
      <c r="F14" s="63"/>
      <c r="G14" s="63"/>
      <c r="H14" s="63"/>
      <c r="I14" s="64"/>
    </row>
    <row r="18" spans="2:12">
      <c r="B18" s="94" t="s">
        <v>195</v>
      </c>
      <c r="G18" s="130"/>
      <c r="H18" s="92"/>
    </row>
    <row r="19" spans="2:12">
      <c r="G19" s="84"/>
      <c r="H19" s="84"/>
    </row>
    <row r="20" spans="2:12">
      <c r="B20" s="78" t="s">
        <v>196</v>
      </c>
      <c r="C20" s="57" t="s">
        <v>197</v>
      </c>
      <c r="D20" s="57" t="s">
        <v>198</v>
      </c>
      <c r="E20" s="57" t="s">
        <v>199</v>
      </c>
      <c r="F20" s="198"/>
      <c r="G20" s="132"/>
      <c r="H20" s="84"/>
      <c r="K20" s="132"/>
      <c r="L20" s="84"/>
    </row>
    <row r="21" spans="2:12">
      <c r="B21" s="59" t="s">
        <v>200</v>
      </c>
      <c r="C21" s="84">
        <f>[9]step1!L1</f>
        <v>14400</v>
      </c>
      <c r="D21">
        <f>[9]step1!L2</f>
        <v>450</v>
      </c>
      <c r="E21" s="74">
        <f>C21/D21</f>
        <v>32</v>
      </c>
      <c r="F21" s="61"/>
      <c r="G21" s="132"/>
      <c r="H21" s="84"/>
    </row>
    <row r="22" spans="2:12">
      <c r="B22" s="59" t="str">
        <f>[9]step1!L14</f>
        <v>slicer</v>
      </c>
      <c r="C22" s="84">
        <f>[9]step1!L3</f>
        <v>4800</v>
      </c>
      <c r="D22">
        <f>[9]step1!L4</f>
        <v>300</v>
      </c>
      <c r="E22" s="74">
        <f>C22/D22</f>
        <v>16</v>
      </c>
      <c r="F22" s="61"/>
      <c r="G22" s="132"/>
      <c r="H22" s="84"/>
    </row>
    <row r="23" spans="2:12">
      <c r="B23" s="59" t="s">
        <v>201</v>
      </c>
      <c r="C23" s="84">
        <f>[9]step1!L5</f>
        <v>3000</v>
      </c>
      <c r="D23">
        <f>[9]step1!L6</f>
        <v>150</v>
      </c>
      <c r="E23" s="74">
        <f>C23/D23</f>
        <v>20</v>
      </c>
      <c r="F23" s="61"/>
      <c r="G23" s="132"/>
      <c r="H23" s="84"/>
    </row>
    <row r="24" spans="2:12">
      <c r="B24" s="62"/>
      <c r="C24" s="140"/>
      <c r="D24" s="63"/>
      <c r="E24" s="63"/>
      <c r="F24" s="64"/>
    </row>
    <row r="25" spans="2:12">
      <c r="G25" s="65"/>
      <c r="I25" s="76"/>
    </row>
    <row r="26" spans="2:12">
      <c r="H26" s="84"/>
    </row>
    <row r="27" spans="2:12">
      <c r="B27" s="94" t="s">
        <v>202</v>
      </c>
      <c r="C27" s="74"/>
    </row>
    <row r="28" spans="2:12">
      <c r="C28" s="74"/>
    </row>
    <row r="29" spans="2:12">
      <c r="B29" s="78" t="s">
        <v>203</v>
      </c>
      <c r="C29" s="199"/>
      <c r="D29" s="57" t="s">
        <v>204</v>
      </c>
      <c r="E29" s="57" t="s">
        <v>205</v>
      </c>
      <c r="F29" s="58" t="s">
        <v>40</v>
      </c>
      <c r="G29" s="74"/>
    </row>
    <row r="30" spans="2:12">
      <c r="B30" s="59" t="s">
        <v>206</v>
      </c>
      <c r="C30" s="74"/>
      <c r="D30">
        <f>[9]step1!L9</f>
        <v>6</v>
      </c>
      <c r="E30" s="74">
        <f>E21</f>
        <v>32</v>
      </c>
      <c r="F30" s="200">
        <f>D30*E30</f>
        <v>192</v>
      </c>
    </row>
    <row r="31" spans="2:12">
      <c r="B31" s="59" t="str">
        <f>"Indirect - "&amp;[9]step1!L14</f>
        <v>Indirect - slicer</v>
      </c>
      <c r="C31" s="74"/>
      <c r="D31">
        <f>[9]step1!L10</f>
        <v>4</v>
      </c>
      <c r="E31" s="74">
        <f>E22</f>
        <v>16</v>
      </c>
      <c r="F31" s="200">
        <f>D31*E31</f>
        <v>64</v>
      </c>
      <c r="G31" s="65"/>
    </row>
    <row r="32" spans="2:12">
      <c r="B32" s="59" t="s">
        <v>207</v>
      </c>
      <c r="C32" s="74"/>
      <c r="D32">
        <f>[9]step1!L11</f>
        <v>1</v>
      </c>
      <c r="E32" s="74">
        <f>E23</f>
        <v>20</v>
      </c>
      <c r="F32" s="200">
        <f>D32*E32</f>
        <v>20</v>
      </c>
    </row>
    <row r="33" spans="2:8">
      <c r="B33" s="59" t="s">
        <v>208</v>
      </c>
      <c r="C33" s="74"/>
      <c r="D33">
        <f>[9]step1!L12</f>
        <v>7</v>
      </c>
      <c r="E33" s="74">
        <f>[9]step1!L8</f>
        <v>14</v>
      </c>
      <c r="F33" s="200">
        <f>D33*E33</f>
        <v>98</v>
      </c>
      <c r="G33" s="76"/>
      <c r="H33" s="77"/>
    </row>
    <row r="34" spans="2:8">
      <c r="B34" s="59" t="s">
        <v>209</v>
      </c>
      <c r="C34" s="74"/>
      <c r="E34" s="103" t="s">
        <v>210</v>
      </c>
      <c r="F34" s="200">
        <f>[9]step1!L7</f>
        <v>60</v>
      </c>
    </row>
    <row r="35" spans="2:8">
      <c r="B35" s="59"/>
      <c r="C35" s="74"/>
      <c r="F35" s="201" t="s">
        <v>211</v>
      </c>
    </row>
    <row r="36" spans="2:8">
      <c r="B36" s="100" t="s">
        <v>136</v>
      </c>
      <c r="C36" s="74"/>
      <c r="F36" s="202">
        <f>SUM(F30:F34)</f>
        <v>434</v>
      </c>
      <c r="G36" s="103" t="s">
        <v>212</v>
      </c>
    </row>
    <row r="37" spans="2:8">
      <c r="B37" s="62"/>
      <c r="C37" s="140"/>
      <c r="D37" s="63"/>
      <c r="E37" s="63"/>
      <c r="F37" s="64"/>
    </row>
    <row r="38" spans="2:8">
      <c r="C38" s="74"/>
    </row>
    <row r="39" spans="2:8">
      <c r="C39" s="74"/>
    </row>
    <row r="40" spans="2:8" ht="15.6">
      <c r="B40" s="3" t="s">
        <v>213</v>
      </c>
      <c r="C40" s="74"/>
    </row>
    <row r="41" spans="2:8">
      <c r="C41" s="74"/>
    </row>
    <row r="42" spans="2:8">
      <c r="C42" s="74"/>
    </row>
    <row r="43" spans="2:8">
      <c r="D43" s="76"/>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4F517-B4A7-468C-818C-A24B49FBCA82}">
  <dimension ref="A1:L43"/>
  <sheetViews>
    <sheetView workbookViewId="0">
      <selection sqref="A1:XFD1048576"/>
    </sheetView>
  </sheetViews>
  <sheetFormatPr defaultRowHeight="14.4"/>
  <cols>
    <col min="9" max="9" width="10" customWidth="1"/>
    <col min="12" max="12" width="9.109375" hidden="1" customWidth="1"/>
    <col min="265" max="265" width="10" customWidth="1"/>
    <col min="268" max="268" width="0" hidden="1" customWidth="1"/>
    <col min="521" max="521" width="10" customWidth="1"/>
    <col min="524" max="524" width="0" hidden="1" customWidth="1"/>
    <col min="777" max="777" width="10" customWidth="1"/>
    <col min="780" max="780" width="0" hidden="1" customWidth="1"/>
    <col min="1033" max="1033" width="10" customWidth="1"/>
    <col min="1036" max="1036" width="0" hidden="1" customWidth="1"/>
    <col min="1289" max="1289" width="10" customWidth="1"/>
    <col min="1292" max="1292" width="0" hidden="1" customWidth="1"/>
    <col min="1545" max="1545" width="10" customWidth="1"/>
    <col min="1548" max="1548" width="0" hidden="1" customWidth="1"/>
    <col min="1801" max="1801" width="10" customWidth="1"/>
    <col min="1804" max="1804" width="0" hidden="1" customWidth="1"/>
    <col min="2057" max="2057" width="10" customWidth="1"/>
    <col min="2060" max="2060" width="0" hidden="1" customWidth="1"/>
    <col min="2313" max="2313" width="10" customWidth="1"/>
    <col min="2316" max="2316" width="0" hidden="1" customWidth="1"/>
    <col min="2569" max="2569" width="10" customWidth="1"/>
    <col min="2572" max="2572" width="0" hidden="1" customWidth="1"/>
    <col min="2825" max="2825" width="10" customWidth="1"/>
    <col min="2828" max="2828" width="0" hidden="1" customWidth="1"/>
    <col min="3081" max="3081" width="10" customWidth="1"/>
    <col min="3084" max="3084" width="0" hidden="1" customWidth="1"/>
    <col min="3337" max="3337" width="10" customWidth="1"/>
    <col min="3340" max="3340" width="0" hidden="1" customWidth="1"/>
    <col min="3593" max="3593" width="10" customWidth="1"/>
    <col min="3596" max="3596" width="0" hidden="1" customWidth="1"/>
    <col min="3849" max="3849" width="10" customWidth="1"/>
    <col min="3852" max="3852" width="0" hidden="1" customWidth="1"/>
    <col min="4105" max="4105" width="10" customWidth="1"/>
    <col min="4108" max="4108" width="0" hidden="1" customWidth="1"/>
    <col min="4361" max="4361" width="10" customWidth="1"/>
    <col min="4364" max="4364" width="0" hidden="1" customWidth="1"/>
    <col min="4617" max="4617" width="10" customWidth="1"/>
    <col min="4620" max="4620" width="0" hidden="1" customWidth="1"/>
    <col min="4873" max="4873" width="10" customWidth="1"/>
    <col min="4876" max="4876" width="0" hidden="1" customWidth="1"/>
    <col min="5129" max="5129" width="10" customWidth="1"/>
    <col min="5132" max="5132" width="0" hidden="1" customWidth="1"/>
    <col min="5385" max="5385" width="10" customWidth="1"/>
    <col min="5388" max="5388" width="0" hidden="1" customWidth="1"/>
    <col min="5641" max="5641" width="10" customWidth="1"/>
    <col min="5644" max="5644" width="0" hidden="1" customWidth="1"/>
    <col min="5897" max="5897" width="10" customWidth="1"/>
    <col min="5900" max="5900" width="0" hidden="1" customWidth="1"/>
    <col min="6153" max="6153" width="10" customWidth="1"/>
    <col min="6156" max="6156" width="0" hidden="1" customWidth="1"/>
    <col min="6409" max="6409" width="10" customWidth="1"/>
    <col min="6412" max="6412" width="0" hidden="1" customWidth="1"/>
    <col min="6665" max="6665" width="10" customWidth="1"/>
    <col min="6668" max="6668" width="0" hidden="1" customWidth="1"/>
    <col min="6921" max="6921" width="10" customWidth="1"/>
    <col min="6924" max="6924" width="0" hidden="1" customWidth="1"/>
    <col min="7177" max="7177" width="10" customWidth="1"/>
    <col min="7180" max="7180" width="0" hidden="1" customWidth="1"/>
    <col min="7433" max="7433" width="10" customWidth="1"/>
    <col min="7436" max="7436" width="0" hidden="1" customWidth="1"/>
    <col min="7689" max="7689" width="10" customWidth="1"/>
    <col min="7692" max="7692" width="0" hidden="1" customWidth="1"/>
    <col min="7945" max="7945" width="10" customWidth="1"/>
    <col min="7948" max="7948" width="0" hidden="1" customWidth="1"/>
    <col min="8201" max="8201" width="10" customWidth="1"/>
    <col min="8204" max="8204" width="0" hidden="1" customWidth="1"/>
    <col min="8457" max="8457" width="10" customWidth="1"/>
    <col min="8460" max="8460" width="0" hidden="1" customWidth="1"/>
    <col min="8713" max="8713" width="10" customWidth="1"/>
    <col min="8716" max="8716" width="0" hidden="1" customWidth="1"/>
    <col min="8969" max="8969" width="10" customWidth="1"/>
    <col min="8972" max="8972" width="0" hidden="1" customWidth="1"/>
    <col min="9225" max="9225" width="10" customWidth="1"/>
    <col min="9228" max="9228" width="0" hidden="1" customWidth="1"/>
    <col min="9481" max="9481" width="10" customWidth="1"/>
    <col min="9484" max="9484" width="0" hidden="1" customWidth="1"/>
    <col min="9737" max="9737" width="10" customWidth="1"/>
    <col min="9740" max="9740" width="0" hidden="1" customWidth="1"/>
    <col min="9993" max="9993" width="10" customWidth="1"/>
    <col min="9996" max="9996" width="0" hidden="1" customWidth="1"/>
    <col min="10249" max="10249" width="10" customWidth="1"/>
    <col min="10252" max="10252" width="0" hidden="1" customWidth="1"/>
    <col min="10505" max="10505" width="10" customWidth="1"/>
    <col min="10508" max="10508" width="0" hidden="1" customWidth="1"/>
    <col min="10761" max="10761" width="10" customWidth="1"/>
    <col min="10764" max="10764" width="0" hidden="1" customWidth="1"/>
    <col min="11017" max="11017" width="10" customWidth="1"/>
    <col min="11020" max="11020" width="0" hidden="1" customWidth="1"/>
    <col min="11273" max="11273" width="10" customWidth="1"/>
    <col min="11276" max="11276" width="0" hidden="1" customWidth="1"/>
    <col min="11529" max="11529" width="10" customWidth="1"/>
    <col min="11532" max="11532" width="0" hidden="1" customWidth="1"/>
    <col min="11785" max="11785" width="10" customWidth="1"/>
    <col min="11788" max="11788" width="0" hidden="1" customWidth="1"/>
    <col min="12041" max="12041" width="10" customWidth="1"/>
    <col min="12044" max="12044" width="0" hidden="1" customWidth="1"/>
    <col min="12297" max="12297" width="10" customWidth="1"/>
    <col min="12300" max="12300" width="0" hidden="1" customWidth="1"/>
    <col min="12553" max="12553" width="10" customWidth="1"/>
    <col min="12556" max="12556" width="0" hidden="1" customWidth="1"/>
    <col min="12809" max="12809" width="10" customWidth="1"/>
    <col min="12812" max="12812" width="0" hidden="1" customWidth="1"/>
    <col min="13065" max="13065" width="10" customWidth="1"/>
    <col min="13068" max="13068" width="0" hidden="1" customWidth="1"/>
    <col min="13321" max="13321" width="10" customWidth="1"/>
    <col min="13324" max="13324" width="0" hidden="1" customWidth="1"/>
    <col min="13577" max="13577" width="10" customWidth="1"/>
    <col min="13580" max="13580" width="0" hidden="1" customWidth="1"/>
    <col min="13833" max="13833" width="10" customWidth="1"/>
    <col min="13836" max="13836" width="0" hidden="1" customWidth="1"/>
    <col min="14089" max="14089" width="10" customWidth="1"/>
    <col min="14092" max="14092" width="0" hidden="1" customWidth="1"/>
    <col min="14345" max="14345" width="10" customWidth="1"/>
    <col min="14348" max="14348" width="0" hidden="1" customWidth="1"/>
    <col min="14601" max="14601" width="10" customWidth="1"/>
    <col min="14604" max="14604" width="0" hidden="1" customWidth="1"/>
    <col min="14857" max="14857" width="10" customWidth="1"/>
    <col min="14860" max="14860" width="0" hidden="1" customWidth="1"/>
    <col min="15113" max="15113" width="10" customWidth="1"/>
    <col min="15116" max="15116" width="0" hidden="1" customWidth="1"/>
    <col min="15369" max="15369" width="10" customWidth="1"/>
    <col min="15372" max="15372" width="0" hidden="1" customWidth="1"/>
    <col min="15625" max="15625" width="10" customWidth="1"/>
    <col min="15628" max="15628" width="0" hidden="1" customWidth="1"/>
    <col min="15881" max="15881" width="10" customWidth="1"/>
    <col min="15884" max="15884" width="0" hidden="1" customWidth="1"/>
    <col min="16137" max="16137" width="10" customWidth="1"/>
    <col min="16140" max="16140" width="0" hidden="1" customWidth="1"/>
  </cols>
  <sheetData>
    <row r="1" spans="1:12" ht="17.399999999999999">
      <c r="D1" s="43" t="str">
        <f>[10]step1!D1</f>
        <v>Simple and Compound Interest</v>
      </c>
    </row>
    <row r="2" spans="1:12" ht="17.399999999999999">
      <c r="D2" s="43" t="str">
        <f>[10]step1!D2</f>
        <v>Car loan problems</v>
      </c>
    </row>
    <row r="5" spans="1:12">
      <c r="B5" s="44" t="str">
        <f>[10]step1!B5</f>
        <v>You were hoping that your trusty Dodge Dart would be your transportation through</v>
      </c>
      <c r="C5" s="45"/>
      <c r="D5" s="45"/>
      <c r="E5" s="45"/>
      <c r="F5" s="45"/>
      <c r="G5" s="45"/>
      <c r="H5" s="45"/>
      <c r="I5" s="46"/>
    </row>
    <row r="6" spans="1:12">
      <c r="B6" s="47" t="str">
        <f>[10]step1!B6</f>
        <v>college.  Unfortunately, it had a serious breakdown, and spare parts are not readily</v>
      </c>
      <c r="C6" s="48"/>
      <c r="D6" s="48"/>
      <c r="E6" s="48"/>
      <c r="F6" s="48"/>
      <c r="G6" s="48"/>
      <c r="H6" s="49"/>
      <c r="I6" s="50"/>
    </row>
    <row r="7" spans="1:12">
      <c r="B7" s="47" t="str">
        <f>[10]step1!B7</f>
        <v>available.  You have found a great Yugo for $1700.  A friend has offered to loan</v>
      </c>
      <c r="C7" s="48"/>
      <c r="D7" s="48"/>
      <c r="E7" s="48"/>
      <c r="F7" s="48"/>
      <c r="G7" s="48"/>
      <c r="H7" s="48"/>
      <c r="I7" s="50"/>
    </row>
    <row r="8" spans="1:12">
      <c r="B8" s="47" t="str">
        <f>[10]step1!B8</f>
        <v>you the money at 8% interest per year, charging compound interest.  You will pay back</v>
      </c>
      <c r="C8" s="48"/>
      <c r="D8" s="48"/>
      <c r="E8" s="48"/>
      <c r="F8" s="48"/>
      <c r="G8" s="48"/>
      <c r="H8" s="48"/>
      <c r="I8" s="50"/>
    </row>
    <row r="9" spans="1:12">
      <c r="B9" s="47" t="str">
        <f>[10]step1!B9</f>
        <v>the entire loan in 4 years after you graduate and get a good paying job.</v>
      </c>
      <c r="C9" s="48"/>
      <c r="D9" s="48"/>
      <c r="E9" s="48"/>
      <c r="F9" s="48"/>
      <c r="G9" s="48"/>
      <c r="H9" s="48"/>
      <c r="I9" s="50"/>
    </row>
    <row r="10" spans="1:12">
      <c r="B10" s="51" t="str">
        <f>[10]step1!B10</f>
        <v>How much will you pay back to your friend?</v>
      </c>
      <c r="C10" s="52"/>
      <c r="D10" s="52"/>
      <c r="E10" s="52"/>
      <c r="F10" s="53"/>
      <c r="G10" s="52"/>
      <c r="H10" s="52"/>
      <c r="I10" s="54"/>
    </row>
    <row r="11" spans="1:12">
      <c r="L11" s="128">
        <f>$D$21*$H$19</f>
        <v>136</v>
      </c>
    </row>
    <row r="12" spans="1:12" ht="15.6">
      <c r="A12" s="55" t="s">
        <v>97</v>
      </c>
      <c r="B12" s="56"/>
      <c r="C12" s="57"/>
      <c r="D12" s="57"/>
      <c r="E12" s="57"/>
      <c r="F12" s="57"/>
      <c r="G12" s="57"/>
      <c r="H12" s="57"/>
      <c r="I12" s="58"/>
      <c r="L12" s="128">
        <f>$D$21*M11</f>
        <v>0</v>
      </c>
    </row>
    <row r="13" spans="1:12" ht="15.6">
      <c r="A13" s="59"/>
      <c r="B13" s="60" t="s">
        <v>194</v>
      </c>
      <c r="I13" s="61"/>
    </row>
    <row r="14" spans="1:12">
      <c r="A14" s="62"/>
      <c r="B14" s="63"/>
      <c r="C14" s="63"/>
      <c r="D14" s="63"/>
      <c r="E14" s="63"/>
      <c r="F14" s="63"/>
      <c r="G14" s="63"/>
      <c r="H14" s="63"/>
      <c r="I14" s="64"/>
    </row>
    <row r="18" spans="2:12">
      <c r="F18" s="203" t="s">
        <v>99</v>
      </c>
      <c r="G18" s="204" t="s">
        <v>214</v>
      </c>
      <c r="H18" s="205" t="s">
        <v>215</v>
      </c>
    </row>
    <row r="19" spans="2:12">
      <c r="B19" s="78" t="s">
        <v>216</v>
      </c>
      <c r="C19" s="57"/>
      <c r="D19" s="206">
        <f>[10]step1!L7</f>
        <v>1700</v>
      </c>
      <c r="F19" s="59">
        <v>0</v>
      </c>
      <c r="G19" s="84">
        <v>0</v>
      </c>
      <c r="H19" s="118">
        <f>D19</f>
        <v>1700</v>
      </c>
    </row>
    <row r="20" spans="2:12">
      <c r="B20" s="59"/>
      <c r="D20" s="61"/>
      <c r="F20" s="59">
        <v>1</v>
      </c>
      <c r="G20" s="128">
        <f t="shared" ref="G20:G23" si="0">$D$21*H19</f>
        <v>136</v>
      </c>
      <c r="H20" s="118">
        <f>H19+G20</f>
        <v>1836</v>
      </c>
      <c r="K20" s="132"/>
      <c r="L20" s="84"/>
    </row>
    <row r="21" spans="2:12">
      <c r="B21" s="62" t="s">
        <v>182</v>
      </c>
      <c r="C21" s="140"/>
      <c r="D21" s="207">
        <f>[10]step1!L9</f>
        <v>0.08</v>
      </c>
      <c r="F21" s="59">
        <v>2</v>
      </c>
      <c r="G21" s="128">
        <f t="shared" si="0"/>
        <v>146.88</v>
      </c>
      <c r="H21" s="118">
        <f>H20+G21</f>
        <v>1982.88</v>
      </c>
    </row>
    <row r="22" spans="2:12">
      <c r="C22" s="74"/>
      <c r="F22" s="59">
        <v>3</v>
      </c>
      <c r="G22" s="128">
        <f t="shared" si="0"/>
        <v>158.63040000000001</v>
      </c>
      <c r="H22" s="118">
        <f>H21+G22</f>
        <v>2141.5104000000001</v>
      </c>
    </row>
    <row r="23" spans="2:12">
      <c r="F23" s="59">
        <v>4</v>
      </c>
      <c r="G23" s="128">
        <f t="shared" si="0"/>
        <v>171.32083200000002</v>
      </c>
      <c r="H23" s="118">
        <f>H22+G23</f>
        <v>2312.831232</v>
      </c>
    </row>
    <row r="24" spans="2:12">
      <c r="F24" s="62"/>
      <c r="G24" s="63"/>
      <c r="H24" s="64"/>
    </row>
    <row r="25" spans="2:12">
      <c r="G25" s="65"/>
      <c r="I25" s="76"/>
    </row>
    <row r="26" spans="2:12">
      <c r="F26" s="66" t="s">
        <v>217</v>
      </c>
      <c r="G26" s="144"/>
      <c r="H26" s="179">
        <f>H23</f>
        <v>2312.831232</v>
      </c>
      <c r="I26" t="s">
        <v>218</v>
      </c>
    </row>
    <row r="27" spans="2:12">
      <c r="C27" s="74"/>
    </row>
    <row r="28" spans="2:12">
      <c r="B28" s="208"/>
      <c r="C28" s="74"/>
    </row>
    <row r="29" spans="2:12" ht="17.399999999999999">
      <c r="B29" s="25" t="s">
        <v>219</v>
      </c>
      <c r="C29" s="74"/>
      <c r="G29" s="74"/>
    </row>
    <row r="30" spans="2:12">
      <c r="C30" s="74"/>
    </row>
    <row r="31" spans="2:12">
      <c r="C31" s="74"/>
      <c r="G31" s="65"/>
    </row>
    <row r="32" spans="2:12">
      <c r="C32" s="74"/>
    </row>
    <row r="33" spans="3:8">
      <c r="C33" s="74"/>
      <c r="G33" s="76"/>
      <c r="H33" s="77"/>
    </row>
    <row r="34" spans="3:8">
      <c r="C34" s="74"/>
    </row>
    <row r="35" spans="3:8">
      <c r="C35" s="74"/>
    </row>
    <row r="36" spans="3:8">
      <c r="C36" s="74"/>
    </row>
    <row r="37" spans="3:8">
      <c r="C37" s="74"/>
    </row>
    <row r="38" spans="3:8">
      <c r="C38" s="74"/>
    </row>
    <row r="39" spans="3:8">
      <c r="C39" s="74"/>
    </row>
    <row r="40" spans="3:8">
      <c r="C40" s="74"/>
    </row>
    <row r="41" spans="3:8">
      <c r="C41" s="74"/>
    </row>
    <row r="42" spans="3:8">
      <c r="C42" s="74"/>
    </row>
    <row r="43" spans="3:8">
      <c r="D43" s="76"/>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43431-5456-43E7-B1E3-4645A3A7FAEA}">
  <dimension ref="A1:L43"/>
  <sheetViews>
    <sheetView workbookViewId="0">
      <selection sqref="A1:XFD1048576"/>
    </sheetView>
  </sheetViews>
  <sheetFormatPr defaultRowHeight="14.4"/>
  <cols>
    <col min="3" max="3" width="11.5546875" customWidth="1"/>
    <col min="9" max="9" width="6.6640625" customWidth="1"/>
    <col min="12" max="12" width="9" customWidth="1"/>
    <col min="259" max="259" width="11.5546875" customWidth="1"/>
    <col min="265" max="265" width="6.6640625" customWidth="1"/>
    <col min="268" max="268" width="9" customWidth="1"/>
    <col min="515" max="515" width="11.5546875" customWidth="1"/>
    <col min="521" max="521" width="6.6640625" customWidth="1"/>
    <col min="524" max="524" width="9" customWidth="1"/>
    <col min="771" max="771" width="11.5546875" customWidth="1"/>
    <col min="777" max="777" width="6.6640625" customWidth="1"/>
    <col min="780" max="780" width="9" customWidth="1"/>
    <col min="1027" max="1027" width="11.5546875" customWidth="1"/>
    <col min="1033" max="1033" width="6.6640625" customWidth="1"/>
    <col min="1036" max="1036" width="9" customWidth="1"/>
    <col min="1283" max="1283" width="11.5546875" customWidth="1"/>
    <col min="1289" max="1289" width="6.6640625" customWidth="1"/>
    <col min="1292" max="1292" width="9" customWidth="1"/>
    <col min="1539" max="1539" width="11.5546875" customWidth="1"/>
    <col min="1545" max="1545" width="6.6640625" customWidth="1"/>
    <col min="1548" max="1548" width="9" customWidth="1"/>
    <col min="1795" max="1795" width="11.5546875" customWidth="1"/>
    <col min="1801" max="1801" width="6.6640625" customWidth="1"/>
    <col min="1804" max="1804" width="9" customWidth="1"/>
    <col min="2051" max="2051" width="11.5546875" customWidth="1"/>
    <col min="2057" max="2057" width="6.6640625" customWidth="1"/>
    <col min="2060" max="2060" width="9" customWidth="1"/>
    <col min="2307" max="2307" width="11.5546875" customWidth="1"/>
    <col min="2313" max="2313" width="6.6640625" customWidth="1"/>
    <col min="2316" max="2316" width="9" customWidth="1"/>
    <col min="2563" max="2563" width="11.5546875" customWidth="1"/>
    <col min="2569" max="2569" width="6.6640625" customWidth="1"/>
    <col min="2572" max="2572" width="9" customWidth="1"/>
    <col min="2819" max="2819" width="11.5546875" customWidth="1"/>
    <col min="2825" max="2825" width="6.6640625" customWidth="1"/>
    <col min="2828" max="2828" width="9" customWidth="1"/>
    <col min="3075" max="3075" width="11.5546875" customWidth="1"/>
    <col min="3081" max="3081" width="6.6640625" customWidth="1"/>
    <col min="3084" max="3084" width="9" customWidth="1"/>
    <col min="3331" max="3331" width="11.5546875" customWidth="1"/>
    <col min="3337" max="3337" width="6.6640625" customWidth="1"/>
    <col min="3340" max="3340" width="9" customWidth="1"/>
    <col min="3587" max="3587" width="11.5546875" customWidth="1"/>
    <col min="3593" max="3593" width="6.6640625" customWidth="1"/>
    <col min="3596" max="3596" width="9" customWidth="1"/>
    <col min="3843" max="3843" width="11.5546875" customWidth="1"/>
    <col min="3849" max="3849" width="6.6640625" customWidth="1"/>
    <col min="3852" max="3852" width="9" customWidth="1"/>
    <col min="4099" max="4099" width="11.5546875" customWidth="1"/>
    <col min="4105" max="4105" width="6.6640625" customWidth="1"/>
    <col min="4108" max="4108" width="9" customWidth="1"/>
    <col min="4355" max="4355" width="11.5546875" customWidth="1"/>
    <col min="4361" max="4361" width="6.6640625" customWidth="1"/>
    <col min="4364" max="4364" width="9" customWidth="1"/>
    <col min="4611" max="4611" width="11.5546875" customWidth="1"/>
    <col min="4617" max="4617" width="6.6640625" customWidth="1"/>
    <col min="4620" max="4620" width="9" customWidth="1"/>
    <col min="4867" max="4867" width="11.5546875" customWidth="1"/>
    <col min="4873" max="4873" width="6.6640625" customWidth="1"/>
    <col min="4876" max="4876" width="9" customWidth="1"/>
    <col min="5123" max="5123" width="11.5546875" customWidth="1"/>
    <col min="5129" max="5129" width="6.6640625" customWidth="1"/>
    <col min="5132" max="5132" width="9" customWidth="1"/>
    <col min="5379" max="5379" width="11.5546875" customWidth="1"/>
    <col min="5385" max="5385" width="6.6640625" customWidth="1"/>
    <col min="5388" max="5388" width="9" customWidth="1"/>
    <col min="5635" max="5635" width="11.5546875" customWidth="1"/>
    <col min="5641" max="5641" width="6.6640625" customWidth="1"/>
    <col min="5644" max="5644" width="9" customWidth="1"/>
    <col min="5891" max="5891" width="11.5546875" customWidth="1"/>
    <col min="5897" max="5897" width="6.6640625" customWidth="1"/>
    <col min="5900" max="5900" width="9" customWidth="1"/>
    <col min="6147" max="6147" width="11.5546875" customWidth="1"/>
    <col min="6153" max="6153" width="6.6640625" customWidth="1"/>
    <col min="6156" max="6156" width="9" customWidth="1"/>
    <col min="6403" max="6403" width="11.5546875" customWidth="1"/>
    <col min="6409" max="6409" width="6.6640625" customWidth="1"/>
    <col min="6412" max="6412" width="9" customWidth="1"/>
    <col min="6659" max="6659" width="11.5546875" customWidth="1"/>
    <col min="6665" max="6665" width="6.6640625" customWidth="1"/>
    <col min="6668" max="6668" width="9" customWidth="1"/>
    <col min="6915" max="6915" width="11.5546875" customWidth="1"/>
    <col min="6921" max="6921" width="6.6640625" customWidth="1"/>
    <col min="6924" max="6924" width="9" customWidth="1"/>
    <col min="7171" max="7171" width="11.5546875" customWidth="1"/>
    <col min="7177" max="7177" width="6.6640625" customWidth="1"/>
    <col min="7180" max="7180" width="9" customWidth="1"/>
    <col min="7427" max="7427" width="11.5546875" customWidth="1"/>
    <col min="7433" max="7433" width="6.6640625" customWidth="1"/>
    <col min="7436" max="7436" width="9" customWidth="1"/>
    <col min="7683" max="7683" width="11.5546875" customWidth="1"/>
    <col min="7689" max="7689" width="6.6640625" customWidth="1"/>
    <col min="7692" max="7692" width="9" customWidth="1"/>
    <col min="7939" max="7939" width="11.5546875" customWidth="1"/>
    <col min="7945" max="7945" width="6.6640625" customWidth="1"/>
    <col min="7948" max="7948" width="9" customWidth="1"/>
    <col min="8195" max="8195" width="11.5546875" customWidth="1"/>
    <col min="8201" max="8201" width="6.6640625" customWidth="1"/>
    <col min="8204" max="8204" width="9" customWidth="1"/>
    <col min="8451" max="8451" width="11.5546875" customWidth="1"/>
    <col min="8457" max="8457" width="6.6640625" customWidth="1"/>
    <col min="8460" max="8460" width="9" customWidth="1"/>
    <col min="8707" max="8707" width="11.5546875" customWidth="1"/>
    <col min="8713" max="8713" width="6.6640625" customWidth="1"/>
    <col min="8716" max="8716" width="9" customWidth="1"/>
    <col min="8963" max="8963" width="11.5546875" customWidth="1"/>
    <col min="8969" max="8969" width="6.6640625" customWidth="1"/>
    <col min="8972" max="8972" width="9" customWidth="1"/>
    <col min="9219" max="9219" width="11.5546875" customWidth="1"/>
    <col min="9225" max="9225" width="6.6640625" customWidth="1"/>
    <col min="9228" max="9228" width="9" customWidth="1"/>
    <col min="9475" max="9475" width="11.5546875" customWidth="1"/>
    <col min="9481" max="9481" width="6.6640625" customWidth="1"/>
    <col min="9484" max="9484" width="9" customWidth="1"/>
    <col min="9731" max="9731" width="11.5546875" customWidth="1"/>
    <col min="9737" max="9737" width="6.6640625" customWidth="1"/>
    <col min="9740" max="9740" width="9" customWidth="1"/>
    <col min="9987" max="9987" width="11.5546875" customWidth="1"/>
    <col min="9993" max="9993" width="6.6640625" customWidth="1"/>
    <col min="9996" max="9996" width="9" customWidth="1"/>
    <col min="10243" max="10243" width="11.5546875" customWidth="1"/>
    <col min="10249" max="10249" width="6.6640625" customWidth="1"/>
    <col min="10252" max="10252" width="9" customWidth="1"/>
    <col min="10499" max="10499" width="11.5546875" customWidth="1"/>
    <col min="10505" max="10505" width="6.6640625" customWidth="1"/>
    <col min="10508" max="10508" width="9" customWidth="1"/>
    <col min="10755" max="10755" width="11.5546875" customWidth="1"/>
    <col min="10761" max="10761" width="6.6640625" customWidth="1"/>
    <col min="10764" max="10764" width="9" customWidth="1"/>
    <col min="11011" max="11011" width="11.5546875" customWidth="1"/>
    <col min="11017" max="11017" width="6.6640625" customWidth="1"/>
    <col min="11020" max="11020" width="9" customWidth="1"/>
    <col min="11267" max="11267" width="11.5546875" customWidth="1"/>
    <col min="11273" max="11273" width="6.6640625" customWidth="1"/>
    <col min="11276" max="11276" width="9" customWidth="1"/>
    <col min="11523" max="11523" width="11.5546875" customWidth="1"/>
    <col min="11529" max="11529" width="6.6640625" customWidth="1"/>
    <col min="11532" max="11532" width="9" customWidth="1"/>
    <col min="11779" max="11779" width="11.5546875" customWidth="1"/>
    <col min="11785" max="11785" width="6.6640625" customWidth="1"/>
    <col min="11788" max="11788" width="9" customWidth="1"/>
    <col min="12035" max="12035" width="11.5546875" customWidth="1"/>
    <col min="12041" max="12041" width="6.6640625" customWidth="1"/>
    <col min="12044" max="12044" width="9" customWidth="1"/>
    <col min="12291" max="12291" width="11.5546875" customWidth="1"/>
    <col min="12297" max="12297" width="6.6640625" customWidth="1"/>
    <col min="12300" max="12300" width="9" customWidth="1"/>
    <col min="12547" max="12547" width="11.5546875" customWidth="1"/>
    <col min="12553" max="12553" width="6.6640625" customWidth="1"/>
    <col min="12556" max="12556" width="9" customWidth="1"/>
    <col min="12803" max="12803" width="11.5546875" customWidth="1"/>
    <col min="12809" max="12809" width="6.6640625" customWidth="1"/>
    <col min="12812" max="12812" width="9" customWidth="1"/>
    <col min="13059" max="13059" width="11.5546875" customWidth="1"/>
    <col min="13065" max="13065" width="6.6640625" customWidth="1"/>
    <col min="13068" max="13068" width="9" customWidth="1"/>
    <col min="13315" max="13315" width="11.5546875" customWidth="1"/>
    <col min="13321" max="13321" width="6.6640625" customWidth="1"/>
    <col min="13324" max="13324" width="9" customWidth="1"/>
    <col min="13571" max="13571" width="11.5546875" customWidth="1"/>
    <col min="13577" max="13577" width="6.6640625" customWidth="1"/>
    <col min="13580" max="13580" width="9" customWidth="1"/>
    <col min="13827" max="13827" width="11.5546875" customWidth="1"/>
    <col min="13833" max="13833" width="6.6640625" customWidth="1"/>
    <col min="13836" max="13836" width="9" customWidth="1"/>
    <col min="14083" max="14083" width="11.5546875" customWidth="1"/>
    <col min="14089" max="14089" width="6.6640625" customWidth="1"/>
    <col min="14092" max="14092" width="9" customWidth="1"/>
    <col min="14339" max="14339" width="11.5546875" customWidth="1"/>
    <col min="14345" max="14345" width="6.6640625" customWidth="1"/>
    <col min="14348" max="14348" width="9" customWidth="1"/>
    <col min="14595" max="14595" width="11.5546875" customWidth="1"/>
    <col min="14601" max="14601" width="6.6640625" customWidth="1"/>
    <col min="14604" max="14604" width="9" customWidth="1"/>
    <col min="14851" max="14851" width="11.5546875" customWidth="1"/>
    <col min="14857" max="14857" width="6.6640625" customWidth="1"/>
    <col min="14860" max="14860" width="9" customWidth="1"/>
    <col min="15107" max="15107" width="11.5546875" customWidth="1"/>
    <col min="15113" max="15113" width="6.6640625" customWidth="1"/>
    <col min="15116" max="15116" width="9" customWidth="1"/>
    <col min="15363" max="15363" width="11.5546875" customWidth="1"/>
    <col min="15369" max="15369" width="6.6640625" customWidth="1"/>
    <col min="15372" max="15372" width="9" customWidth="1"/>
    <col min="15619" max="15619" width="11.5546875" customWidth="1"/>
    <col min="15625" max="15625" width="6.6640625" customWidth="1"/>
    <col min="15628" max="15628" width="9" customWidth="1"/>
    <col min="15875" max="15875" width="11.5546875" customWidth="1"/>
    <col min="15881" max="15881" width="6.6640625" customWidth="1"/>
    <col min="15884" max="15884" width="9" customWidth="1"/>
    <col min="16131" max="16131" width="11.5546875" customWidth="1"/>
    <col min="16137" max="16137" width="6.6640625" customWidth="1"/>
    <col min="16140" max="16140" width="9" customWidth="1"/>
  </cols>
  <sheetData>
    <row r="1" spans="1:12" ht="17.399999999999999">
      <c r="D1" s="43" t="str">
        <f>[11]step1!D1</f>
        <v>Internal Rate-of-Return</v>
      </c>
    </row>
    <row r="2" spans="1:12" ht="17.399999999999999">
      <c r="D2" s="43" t="str">
        <f>[11]step1!D2</f>
        <v>Commercial Loan problems</v>
      </c>
    </row>
    <row r="5" spans="1:12">
      <c r="B5" s="44" t="str">
        <f>[11]step1!B5</f>
        <v>Your spouse has just purchased a great new dining room set from Balsa House</v>
      </c>
      <c r="C5" s="45"/>
      <c r="D5" s="45"/>
      <c r="E5" s="45"/>
      <c r="F5" s="45"/>
      <c r="G5" s="45"/>
      <c r="H5" s="45"/>
      <c r="I5" s="46"/>
    </row>
    <row r="6" spans="1:12">
      <c r="B6" s="47" t="str">
        <f>[11]step1!B6</f>
        <v>Furniture for $4000.  Their financial representative is offering you an easy payment plan</v>
      </c>
      <c r="C6" s="48"/>
      <c r="D6" s="48"/>
      <c r="E6" s="48"/>
      <c r="F6" s="48"/>
      <c r="G6" s="48"/>
      <c r="H6" s="49"/>
      <c r="I6" s="50"/>
    </row>
    <row r="7" spans="1:12">
      <c r="B7" s="47" t="str">
        <f>[11]step1!B7</f>
        <v>with the initial payment in 2 quarters of $900.  You make 5 total payments with the</v>
      </c>
      <c r="C7" s="48"/>
      <c r="D7" s="48"/>
      <c r="E7" s="48"/>
      <c r="F7" s="48"/>
      <c r="G7" s="48"/>
      <c r="H7" s="48"/>
      <c r="I7" s="50"/>
      <c r="L7" s="84"/>
    </row>
    <row r="8" spans="1:12">
      <c r="B8" s="47" t="str">
        <f>[11]step1!B8</f>
        <v>payment amount increasing $70 each payment.  What is the quarterly rate-of-return</v>
      </c>
      <c r="C8" s="48"/>
      <c r="D8" s="48"/>
      <c r="E8" s="48"/>
      <c r="F8" s="48"/>
      <c r="G8" s="48"/>
      <c r="H8" s="48"/>
      <c r="I8" s="50"/>
      <c r="L8" s="127"/>
    </row>
    <row r="9" spans="1:12">
      <c r="B9" s="51" t="str">
        <f>[11]step1!B9</f>
        <v>for this payment plan?</v>
      </c>
      <c r="C9" s="52"/>
      <c r="D9" s="52"/>
      <c r="E9" s="52"/>
      <c r="F9" s="52"/>
      <c r="G9" s="52"/>
      <c r="H9" s="52"/>
      <c r="I9" s="54"/>
      <c r="L9" s="132"/>
    </row>
    <row r="10" spans="1:12">
      <c r="F10" s="146"/>
      <c r="L10" s="84"/>
    </row>
    <row r="11" spans="1:12">
      <c r="L11" s="127"/>
    </row>
    <row r="12" spans="1:12" ht="15.6">
      <c r="A12" s="55" t="s">
        <v>97</v>
      </c>
      <c r="B12" s="56"/>
      <c r="C12" s="57"/>
      <c r="D12" s="57"/>
      <c r="E12" s="57"/>
      <c r="F12" s="57"/>
      <c r="G12" s="57"/>
      <c r="H12" s="57"/>
      <c r="I12" s="58"/>
    </row>
    <row r="13" spans="1:12" ht="15.6">
      <c r="A13" s="59"/>
      <c r="B13" s="60" t="s">
        <v>146</v>
      </c>
      <c r="I13" s="61"/>
    </row>
    <row r="14" spans="1:12">
      <c r="A14" s="62"/>
      <c r="B14" s="63"/>
      <c r="C14" s="63"/>
      <c r="D14" s="63"/>
      <c r="E14" s="63"/>
      <c r="F14" s="63"/>
      <c r="G14" s="63"/>
      <c r="H14" s="63"/>
      <c r="I14" s="64"/>
    </row>
    <row r="18" spans="2:12">
      <c r="B18" s="78" t="s">
        <v>220</v>
      </c>
      <c r="C18" s="58" t="s">
        <v>221</v>
      </c>
      <c r="E18" s="66" t="s">
        <v>222</v>
      </c>
      <c r="F18" s="209">
        <f>IRR(C19:C29)</f>
        <v>6.6576569595522272E-2</v>
      </c>
      <c r="G18" s="210" t="s">
        <v>223</v>
      </c>
      <c r="H18" s="92"/>
    </row>
    <row r="19" spans="2:12">
      <c r="B19" s="69">
        <v>0</v>
      </c>
      <c r="C19" s="71">
        <v>4000</v>
      </c>
      <c r="D19" s="211"/>
      <c r="F19" s="93"/>
      <c r="G19" s="93"/>
      <c r="H19" s="70"/>
      <c r="I19" s="93"/>
      <c r="J19" s="93"/>
    </row>
    <row r="20" spans="2:12">
      <c r="B20" s="69">
        <v>1</v>
      </c>
      <c r="C20" s="71">
        <v>0</v>
      </c>
      <c r="D20" s="93"/>
      <c r="F20" s="159"/>
      <c r="G20" s="152"/>
      <c r="H20" s="153"/>
      <c r="I20" s="93"/>
      <c r="J20" s="93"/>
      <c r="K20" s="132"/>
      <c r="L20" s="84"/>
    </row>
    <row r="21" spans="2:12">
      <c r="B21" s="69">
        <v>2</v>
      </c>
      <c r="C21" s="71">
        <v>-900</v>
      </c>
      <c r="D21" s="152"/>
      <c r="F21" s="93"/>
      <c r="G21" s="93"/>
      <c r="H21" s="70"/>
      <c r="I21" s="152"/>
      <c r="J21" s="93"/>
    </row>
    <row r="22" spans="2:12">
      <c r="B22" s="59">
        <v>3</v>
      </c>
      <c r="C22" s="71">
        <v>-970</v>
      </c>
      <c r="D22" s="155"/>
      <c r="F22" s="93"/>
      <c r="G22" s="152"/>
      <c r="H22" s="70"/>
      <c r="I22" s="93"/>
      <c r="J22" s="93"/>
    </row>
    <row r="23" spans="2:12">
      <c r="B23" s="69">
        <v>4</v>
      </c>
      <c r="C23" s="71">
        <v>-1040</v>
      </c>
      <c r="D23" s="152"/>
      <c r="F23" s="212"/>
      <c r="G23" s="152"/>
      <c r="H23" s="70"/>
      <c r="I23" s="93"/>
      <c r="J23" s="93"/>
    </row>
    <row r="24" spans="2:12">
      <c r="B24" s="69">
        <v>5</v>
      </c>
      <c r="C24" s="71">
        <v>-1110</v>
      </c>
      <c r="D24" s="93"/>
      <c r="E24" s="152"/>
      <c r="F24" s="93"/>
      <c r="G24" s="93"/>
      <c r="H24" s="93"/>
      <c r="I24" s="93"/>
      <c r="J24" s="93"/>
    </row>
    <row r="25" spans="2:12">
      <c r="B25" s="69">
        <v>6</v>
      </c>
      <c r="C25" s="71">
        <v>-1180</v>
      </c>
      <c r="D25" s="152"/>
      <c r="E25" s="152"/>
      <c r="F25" s="93"/>
      <c r="G25" s="159"/>
      <c r="H25" s="93"/>
      <c r="I25" s="160"/>
      <c r="J25" s="93"/>
    </row>
    <row r="26" spans="2:12">
      <c r="B26" s="69">
        <v>7</v>
      </c>
      <c r="C26" s="71">
        <v>0</v>
      </c>
      <c r="E26" s="213"/>
      <c r="F26" s="93"/>
      <c r="H26" s="93"/>
      <c r="I26" s="93"/>
      <c r="J26" s="93"/>
    </row>
    <row r="27" spans="2:12">
      <c r="B27" s="59">
        <v>8</v>
      </c>
      <c r="C27" s="71">
        <v>0</v>
      </c>
      <c r="E27" s="93"/>
      <c r="F27" s="93"/>
      <c r="H27" s="93"/>
      <c r="I27" s="93"/>
      <c r="J27" s="93"/>
    </row>
    <row r="28" spans="2:12">
      <c r="B28" s="59">
        <v>9</v>
      </c>
      <c r="C28" s="71">
        <v>0</v>
      </c>
      <c r="E28" s="214"/>
      <c r="F28" s="93"/>
      <c r="H28" s="93"/>
      <c r="I28" s="93"/>
      <c r="J28" s="93"/>
    </row>
    <row r="29" spans="2:12">
      <c r="B29" s="59">
        <v>10</v>
      </c>
      <c r="C29" s="71">
        <v>0</v>
      </c>
      <c r="F29" s="93"/>
      <c r="H29" s="93"/>
      <c r="I29" s="93"/>
      <c r="J29" s="93"/>
    </row>
    <row r="30" spans="2:12">
      <c r="B30" s="139"/>
      <c r="C30" s="215"/>
      <c r="E30" s="152"/>
      <c r="F30" s="167"/>
      <c r="H30" s="93"/>
      <c r="I30" s="93"/>
      <c r="J30" s="93"/>
    </row>
    <row r="31" spans="2:12">
      <c r="B31" s="93"/>
      <c r="C31" s="93"/>
      <c r="D31" s="93"/>
      <c r="E31" s="152"/>
      <c r="F31" s="93"/>
      <c r="G31" s="159"/>
      <c r="H31" s="93"/>
      <c r="I31" s="93"/>
      <c r="J31" s="93"/>
    </row>
    <row r="32" spans="2:12">
      <c r="B32" s="93"/>
      <c r="C32" s="164"/>
      <c r="D32" s="93"/>
      <c r="E32" s="152"/>
      <c r="F32" s="93"/>
      <c r="G32" s="93"/>
      <c r="H32" s="93"/>
      <c r="I32" s="93"/>
      <c r="J32" s="93"/>
    </row>
    <row r="33" spans="2:10" ht="17.399999999999999">
      <c r="B33" s="25" t="s">
        <v>117</v>
      </c>
      <c r="C33" s="164"/>
      <c r="D33" s="93"/>
      <c r="E33" s="152"/>
      <c r="F33" s="93"/>
      <c r="G33" s="160"/>
      <c r="H33" s="168"/>
      <c r="I33" s="93"/>
      <c r="J33" s="93"/>
    </row>
    <row r="34" spans="2:10">
      <c r="B34" s="93"/>
      <c r="C34" s="164"/>
      <c r="D34" s="93"/>
      <c r="E34" s="152"/>
      <c r="F34" s="93"/>
      <c r="G34" s="93"/>
      <c r="H34" s="93"/>
      <c r="I34" s="93"/>
      <c r="J34" s="93"/>
    </row>
    <row r="35" spans="2:10">
      <c r="B35" s="93"/>
      <c r="C35" s="164"/>
      <c r="D35" s="93"/>
      <c r="E35" s="152"/>
      <c r="F35" s="93"/>
      <c r="G35" s="93"/>
      <c r="H35" s="93"/>
      <c r="I35" s="93"/>
      <c r="J35" s="93"/>
    </row>
    <row r="36" spans="2:10">
      <c r="C36" s="74"/>
    </row>
    <row r="37" spans="2:10">
      <c r="C37" s="74"/>
    </row>
    <row r="38" spans="2:10">
      <c r="C38" s="74"/>
    </row>
    <row r="39" spans="2:10">
      <c r="C39" s="74"/>
    </row>
    <row r="40" spans="2:10">
      <c r="C40" s="74"/>
    </row>
    <row r="41" spans="2:10">
      <c r="C41" s="74"/>
    </row>
    <row r="42" spans="2:10">
      <c r="C42" s="74"/>
    </row>
    <row r="43" spans="2:10">
      <c r="D43" s="7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A4D8C-0D1C-4A67-9E38-950703B7495C}">
  <dimension ref="A1:L43"/>
  <sheetViews>
    <sheetView workbookViewId="0">
      <selection sqref="A1:XFD1048576"/>
    </sheetView>
  </sheetViews>
  <sheetFormatPr defaultRowHeight="14.4"/>
  <cols>
    <col min="3" max="5" width="10.6640625" customWidth="1"/>
    <col min="9" max="9" width="7.6640625" customWidth="1"/>
    <col min="259" max="261" width="10.6640625" customWidth="1"/>
    <col min="265" max="265" width="7.6640625" customWidth="1"/>
    <col min="515" max="517" width="10.6640625" customWidth="1"/>
    <col min="521" max="521" width="7.6640625" customWidth="1"/>
    <col min="771" max="773" width="10.6640625" customWidth="1"/>
    <col min="777" max="777" width="7.6640625" customWidth="1"/>
    <col min="1027" max="1029" width="10.6640625" customWidth="1"/>
    <col min="1033" max="1033" width="7.6640625" customWidth="1"/>
    <col min="1283" max="1285" width="10.6640625" customWidth="1"/>
    <col min="1289" max="1289" width="7.6640625" customWidth="1"/>
    <col min="1539" max="1541" width="10.6640625" customWidth="1"/>
    <col min="1545" max="1545" width="7.6640625" customWidth="1"/>
    <col min="1795" max="1797" width="10.6640625" customWidth="1"/>
    <col min="1801" max="1801" width="7.6640625" customWidth="1"/>
    <col min="2051" max="2053" width="10.6640625" customWidth="1"/>
    <col min="2057" max="2057" width="7.6640625" customWidth="1"/>
    <col min="2307" max="2309" width="10.6640625" customWidth="1"/>
    <col min="2313" max="2313" width="7.6640625" customWidth="1"/>
    <col min="2563" max="2565" width="10.6640625" customWidth="1"/>
    <col min="2569" max="2569" width="7.6640625" customWidth="1"/>
    <col min="2819" max="2821" width="10.6640625" customWidth="1"/>
    <col min="2825" max="2825" width="7.6640625" customWidth="1"/>
    <col min="3075" max="3077" width="10.6640625" customWidth="1"/>
    <col min="3081" max="3081" width="7.6640625" customWidth="1"/>
    <col min="3331" max="3333" width="10.6640625" customWidth="1"/>
    <col min="3337" max="3337" width="7.6640625" customWidth="1"/>
    <col min="3587" max="3589" width="10.6640625" customWidth="1"/>
    <col min="3593" max="3593" width="7.6640625" customWidth="1"/>
    <col min="3843" max="3845" width="10.6640625" customWidth="1"/>
    <col min="3849" max="3849" width="7.6640625" customWidth="1"/>
    <col min="4099" max="4101" width="10.6640625" customWidth="1"/>
    <col min="4105" max="4105" width="7.6640625" customWidth="1"/>
    <col min="4355" max="4357" width="10.6640625" customWidth="1"/>
    <col min="4361" max="4361" width="7.6640625" customWidth="1"/>
    <col min="4611" max="4613" width="10.6640625" customWidth="1"/>
    <col min="4617" max="4617" width="7.6640625" customWidth="1"/>
    <col min="4867" max="4869" width="10.6640625" customWidth="1"/>
    <col min="4873" max="4873" width="7.6640625" customWidth="1"/>
    <col min="5123" max="5125" width="10.6640625" customWidth="1"/>
    <col min="5129" max="5129" width="7.6640625" customWidth="1"/>
    <col min="5379" max="5381" width="10.6640625" customWidth="1"/>
    <col min="5385" max="5385" width="7.6640625" customWidth="1"/>
    <col min="5635" max="5637" width="10.6640625" customWidth="1"/>
    <col min="5641" max="5641" width="7.6640625" customWidth="1"/>
    <col min="5891" max="5893" width="10.6640625" customWidth="1"/>
    <col min="5897" max="5897" width="7.6640625" customWidth="1"/>
    <col min="6147" max="6149" width="10.6640625" customWidth="1"/>
    <col min="6153" max="6153" width="7.6640625" customWidth="1"/>
    <col min="6403" max="6405" width="10.6640625" customWidth="1"/>
    <col min="6409" max="6409" width="7.6640625" customWidth="1"/>
    <col min="6659" max="6661" width="10.6640625" customWidth="1"/>
    <col min="6665" max="6665" width="7.6640625" customWidth="1"/>
    <col min="6915" max="6917" width="10.6640625" customWidth="1"/>
    <col min="6921" max="6921" width="7.6640625" customWidth="1"/>
    <col min="7171" max="7173" width="10.6640625" customWidth="1"/>
    <col min="7177" max="7177" width="7.6640625" customWidth="1"/>
    <col min="7427" max="7429" width="10.6640625" customWidth="1"/>
    <col min="7433" max="7433" width="7.6640625" customWidth="1"/>
    <col min="7683" max="7685" width="10.6640625" customWidth="1"/>
    <col min="7689" max="7689" width="7.6640625" customWidth="1"/>
    <col min="7939" max="7941" width="10.6640625" customWidth="1"/>
    <col min="7945" max="7945" width="7.6640625" customWidth="1"/>
    <col min="8195" max="8197" width="10.6640625" customWidth="1"/>
    <col min="8201" max="8201" width="7.6640625" customWidth="1"/>
    <col min="8451" max="8453" width="10.6640625" customWidth="1"/>
    <col min="8457" max="8457" width="7.6640625" customWidth="1"/>
    <col min="8707" max="8709" width="10.6640625" customWidth="1"/>
    <col min="8713" max="8713" width="7.6640625" customWidth="1"/>
    <col min="8963" max="8965" width="10.6640625" customWidth="1"/>
    <col min="8969" max="8969" width="7.6640625" customWidth="1"/>
    <col min="9219" max="9221" width="10.6640625" customWidth="1"/>
    <col min="9225" max="9225" width="7.6640625" customWidth="1"/>
    <col min="9475" max="9477" width="10.6640625" customWidth="1"/>
    <col min="9481" max="9481" width="7.6640625" customWidth="1"/>
    <col min="9731" max="9733" width="10.6640625" customWidth="1"/>
    <col min="9737" max="9737" width="7.6640625" customWidth="1"/>
    <col min="9987" max="9989" width="10.6640625" customWidth="1"/>
    <col min="9993" max="9993" width="7.6640625" customWidth="1"/>
    <col min="10243" max="10245" width="10.6640625" customWidth="1"/>
    <col min="10249" max="10249" width="7.6640625" customWidth="1"/>
    <col min="10499" max="10501" width="10.6640625" customWidth="1"/>
    <col min="10505" max="10505" width="7.6640625" customWidth="1"/>
    <col min="10755" max="10757" width="10.6640625" customWidth="1"/>
    <col min="10761" max="10761" width="7.6640625" customWidth="1"/>
    <col min="11011" max="11013" width="10.6640625" customWidth="1"/>
    <col min="11017" max="11017" width="7.6640625" customWidth="1"/>
    <col min="11267" max="11269" width="10.6640625" customWidth="1"/>
    <col min="11273" max="11273" width="7.6640625" customWidth="1"/>
    <col min="11523" max="11525" width="10.6640625" customWidth="1"/>
    <col min="11529" max="11529" width="7.6640625" customWidth="1"/>
    <col min="11779" max="11781" width="10.6640625" customWidth="1"/>
    <col min="11785" max="11785" width="7.6640625" customWidth="1"/>
    <col min="12035" max="12037" width="10.6640625" customWidth="1"/>
    <col min="12041" max="12041" width="7.6640625" customWidth="1"/>
    <col min="12291" max="12293" width="10.6640625" customWidth="1"/>
    <col min="12297" max="12297" width="7.6640625" customWidth="1"/>
    <col min="12547" max="12549" width="10.6640625" customWidth="1"/>
    <col min="12553" max="12553" width="7.6640625" customWidth="1"/>
    <col min="12803" max="12805" width="10.6640625" customWidth="1"/>
    <col min="12809" max="12809" width="7.6640625" customWidth="1"/>
    <col min="13059" max="13061" width="10.6640625" customWidth="1"/>
    <col min="13065" max="13065" width="7.6640625" customWidth="1"/>
    <col min="13315" max="13317" width="10.6640625" customWidth="1"/>
    <col min="13321" max="13321" width="7.6640625" customWidth="1"/>
    <col min="13571" max="13573" width="10.6640625" customWidth="1"/>
    <col min="13577" max="13577" width="7.6640625" customWidth="1"/>
    <col min="13827" max="13829" width="10.6640625" customWidth="1"/>
    <col min="13833" max="13833" width="7.6640625" customWidth="1"/>
    <col min="14083" max="14085" width="10.6640625" customWidth="1"/>
    <col min="14089" max="14089" width="7.6640625" customWidth="1"/>
    <col min="14339" max="14341" width="10.6640625" customWidth="1"/>
    <col min="14345" max="14345" width="7.6640625" customWidth="1"/>
    <col min="14595" max="14597" width="10.6640625" customWidth="1"/>
    <col min="14601" max="14601" width="7.6640625" customWidth="1"/>
    <col min="14851" max="14853" width="10.6640625" customWidth="1"/>
    <col min="14857" max="14857" width="7.6640625" customWidth="1"/>
    <col min="15107" max="15109" width="10.6640625" customWidth="1"/>
    <col min="15113" max="15113" width="7.6640625" customWidth="1"/>
    <col min="15363" max="15365" width="10.6640625" customWidth="1"/>
    <col min="15369" max="15369" width="7.6640625" customWidth="1"/>
    <col min="15619" max="15621" width="10.6640625" customWidth="1"/>
    <col min="15625" max="15625" width="7.6640625" customWidth="1"/>
    <col min="15875" max="15877" width="10.6640625" customWidth="1"/>
    <col min="15881" max="15881" width="7.6640625" customWidth="1"/>
    <col min="16131" max="16133" width="10.6640625" customWidth="1"/>
    <col min="16137" max="16137" width="7.6640625" customWidth="1"/>
  </cols>
  <sheetData>
    <row r="1" spans="1:12" ht="17.399999999999999">
      <c r="D1" s="43" t="str">
        <f>[12]step1!D1</f>
        <v>Rate-of-return analysis - 2 alternatives</v>
      </c>
    </row>
    <row r="2" spans="1:12" ht="17.399999999999999">
      <c r="D2" s="43" t="str">
        <f>[12]step1!D2</f>
        <v>Flooring problems</v>
      </c>
    </row>
    <row r="5" spans="1:12">
      <c r="B5" s="44" t="str">
        <f>[12]step1!B5</f>
        <v>As a member of your church's building committee, you need to recommend flooring</v>
      </c>
      <c r="C5" s="45"/>
      <c r="D5" s="45"/>
      <c r="E5" s="45"/>
      <c r="F5" s="45"/>
      <c r="G5" s="45"/>
      <c r="H5" s="45"/>
      <c r="I5" s="46"/>
    </row>
    <row r="6" spans="1:12">
      <c r="B6" s="47" t="str">
        <f>[12]step1!B6</f>
        <v>for the entry.  You may stay with the hardwood floors, which requires $8000 in</v>
      </c>
      <c r="C6" s="48"/>
      <c r="D6" s="48"/>
      <c r="E6" s="48"/>
      <c r="F6" s="48"/>
      <c r="G6" s="48"/>
      <c r="H6" s="49"/>
      <c r="I6" s="50"/>
    </row>
    <row r="7" spans="1:12">
      <c r="B7" s="47" t="str">
        <f>[12]step1!B7</f>
        <v>refinishing cost now and annual waxing cost of $500.  The floor lasts 14 years and</v>
      </c>
      <c r="C7" s="48"/>
      <c r="D7" s="48"/>
      <c r="E7" s="48"/>
      <c r="F7" s="48"/>
      <c r="G7" s="48"/>
      <c r="H7" s="48"/>
      <c r="I7" s="50"/>
    </row>
    <row r="8" spans="1:12">
      <c r="B8" s="47" t="str">
        <f>[12]step1!B8</f>
        <v>has no salvage cost.  The other alternative is carpeting, which costs $6000 now plus</v>
      </c>
      <c r="C8" s="48"/>
      <c r="D8" s="48"/>
      <c r="E8" s="48"/>
      <c r="F8" s="48"/>
      <c r="G8" s="48"/>
      <c r="H8" s="48"/>
      <c r="I8" s="50"/>
    </row>
    <row r="9" spans="1:12">
      <c r="B9" s="47" t="str">
        <f>[12]step1!B9</f>
        <v>$600 annual shampooing cost (except when replaced).  Removal cost is $300 at the</v>
      </c>
      <c r="C9" s="48"/>
      <c r="D9" s="48"/>
      <c r="E9" s="48"/>
      <c r="F9" s="48"/>
      <c r="G9" s="48"/>
      <c r="H9" s="48"/>
      <c r="I9" s="50"/>
    </row>
    <row r="10" spans="1:12">
      <c r="B10" s="51" t="str">
        <f>[12]step1!B10</f>
        <v>end of its 7 year life.  What flooring should be used if the church uses a MARR of 6%?</v>
      </c>
      <c r="C10" s="52"/>
      <c r="D10" s="52"/>
      <c r="E10" s="52"/>
      <c r="F10" s="53"/>
      <c r="G10" s="52"/>
      <c r="H10" s="52"/>
      <c r="I10" s="54"/>
    </row>
    <row r="11" spans="1:12">
      <c r="L11" s="128"/>
    </row>
    <row r="12" spans="1:12" ht="15.6">
      <c r="A12" s="55" t="s">
        <v>97</v>
      </c>
      <c r="B12" s="56"/>
      <c r="C12" s="57"/>
      <c r="D12" s="57"/>
      <c r="E12" s="57"/>
      <c r="F12" s="57"/>
      <c r="G12" s="57"/>
      <c r="H12" s="57"/>
      <c r="I12" s="58"/>
      <c r="L12" s="128"/>
    </row>
    <row r="13" spans="1:12" ht="15.6">
      <c r="A13" s="59"/>
      <c r="B13" s="60" t="s">
        <v>194</v>
      </c>
      <c r="I13" s="61"/>
    </row>
    <row r="14" spans="1:12">
      <c r="A14" s="62"/>
      <c r="B14" s="63"/>
      <c r="C14" s="63"/>
      <c r="D14" s="63"/>
      <c r="E14" s="63"/>
      <c r="F14" s="63"/>
      <c r="G14" s="63"/>
      <c r="H14" s="63"/>
      <c r="I14" s="64"/>
    </row>
    <row r="18" spans="2:12">
      <c r="B18" s="78"/>
      <c r="C18" s="57"/>
      <c r="D18" s="216" t="s">
        <v>224</v>
      </c>
      <c r="E18" s="58"/>
      <c r="G18" s="93"/>
      <c r="H18" s="70"/>
      <c r="I18" s="93"/>
    </row>
    <row r="19" spans="2:12">
      <c r="B19" s="69" t="s">
        <v>99</v>
      </c>
      <c r="C19" s="24" t="s">
        <v>225</v>
      </c>
      <c r="D19" s="217" t="s">
        <v>226</v>
      </c>
      <c r="E19" s="61" t="s">
        <v>227</v>
      </c>
      <c r="G19" s="109"/>
      <c r="H19" s="110"/>
      <c r="I19" s="93"/>
    </row>
    <row r="20" spans="2:12">
      <c r="B20" s="59">
        <v>0</v>
      </c>
      <c r="C20" s="107">
        <v>-8000</v>
      </c>
      <c r="D20" s="107">
        <v>-6000</v>
      </c>
      <c r="E20" s="117">
        <f>C20-D20</f>
        <v>-2000</v>
      </c>
      <c r="F20" s="93"/>
      <c r="G20" s="93"/>
      <c r="H20" s="70"/>
      <c r="I20" s="152"/>
      <c r="K20" s="132"/>
      <c r="L20" s="84"/>
    </row>
    <row r="21" spans="2:12">
      <c r="B21" s="59">
        <v>1</v>
      </c>
      <c r="C21" s="107">
        <v>-500</v>
      </c>
      <c r="D21" s="107">
        <v>-600</v>
      </c>
      <c r="E21" s="117">
        <f t="shared" ref="E21:E34" si="0">C21-D21</f>
        <v>100</v>
      </c>
      <c r="F21" s="70"/>
      <c r="G21" s="218"/>
      <c r="H21" s="70"/>
      <c r="I21" s="93"/>
    </row>
    <row r="22" spans="2:12">
      <c r="B22" s="69">
        <v>2</v>
      </c>
      <c r="C22" s="107">
        <v>-500</v>
      </c>
      <c r="D22" s="107">
        <v>-600</v>
      </c>
      <c r="E22" s="117">
        <f t="shared" si="0"/>
        <v>100</v>
      </c>
      <c r="F22" s="94"/>
      <c r="G22" s="107"/>
      <c r="H22" s="111"/>
      <c r="I22" s="93"/>
    </row>
    <row r="23" spans="2:12">
      <c r="B23" s="69">
        <v>3</v>
      </c>
      <c r="C23" s="107">
        <v>-500</v>
      </c>
      <c r="D23" s="107">
        <v>-600</v>
      </c>
      <c r="E23" s="117">
        <f t="shared" si="0"/>
        <v>100</v>
      </c>
      <c r="F23" s="93"/>
      <c r="G23" s="107"/>
      <c r="H23" s="111"/>
      <c r="I23" s="93"/>
    </row>
    <row r="24" spans="2:12">
      <c r="B24" s="59">
        <v>4</v>
      </c>
      <c r="C24" s="107">
        <v>-500</v>
      </c>
      <c r="D24" s="107">
        <v>-600</v>
      </c>
      <c r="E24" s="117">
        <f t="shared" si="0"/>
        <v>100</v>
      </c>
      <c r="G24" s="107"/>
      <c r="H24" s="107"/>
      <c r="I24" s="160"/>
    </row>
    <row r="25" spans="2:12">
      <c r="B25" s="69">
        <v>5</v>
      </c>
      <c r="C25" s="107">
        <v>-500</v>
      </c>
      <c r="D25" s="107">
        <v>-600</v>
      </c>
      <c r="E25" s="117">
        <f t="shared" si="0"/>
        <v>100</v>
      </c>
      <c r="F25" s="93"/>
      <c r="G25" s="107"/>
      <c r="H25" s="107"/>
      <c r="I25" s="93"/>
    </row>
    <row r="26" spans="2:12">
      <c r="B26" s="69">
        <v>6</v>
      </c>
      <c r="C26" s="107">
        <v>-500</v>
      </c>
      <c r="D26" s="107">
        <v>-600</v>
      </c>
      <c r="E26" s="117">
        <f t="shared" si="0"/>
        <v>100</v>
      </c>
      <c r="F26" s="93"/>
      <c r="G26" s="107"/>
      <c r="H26" s="107"/>
      <c r="I26" s="93"/>
    </row>
    <row r="27" spans="2:12">
      <c r="B27" s="59">
        <v>7</v>
      </c>
      <c r="C27" s="107">
        <v>-500</v>
      </c>
      <c r="D27" s="107">
        <v>-6300</v>
      </c>
      <c r="E27" s="117">
        <f t="shared" si="0"/>
        <v>5800</v>
      </c>
      <c r="G27" s="107"/>
      <c r="H27" s="107"/>
      <c r="I27" s="93"/>
    </row>
    <row r="28" spans="2:12">
      <c r="B28" s="69">
        <v>8</v>
      </c>
      <c r="C28" s="107">
        <v>-500</v>
      </c>
      <c r="D28" s="107">
        <v>-600</v>
      </c>
      <c r="E28" s="117">
        <f t="shared" si="0"/>
        <v>100</v>
      </c>
      <c r="G28" s="107"/>
      <c r="H28" s="107"/>
    </row>
    <row r="29" spans="2:12">
      <c r="B29" s="69">
        <v>9</v>
      </c>
      <c r="C29" s="107">
        <v>-500</v>
      </c>
      <c r="D29" s="107">
        <v>-600</v>
      </c>
      <c r="E29" s="117">
        <f t="shared" si="0"/>
        <v>100</v>
      </c>
      <c r="G29" s="107"/>
      <c r="H29" s="107"/>
    </row>
    <row r="30" spans="2:12">
      <c r="B30" s="59">
        <v>10</v>
      </c>
      <c r="C30" s="107">
        <v>-500</v>
      </c>
      <c r="D30" s="107">
        <v>-600</v>
      </c>
      <c r="E30" s="117">
        <f t="shared" si="0"/>
        <v>100</v>
      </c>
      <c r="G30" s="107"/>
      <c r="H30" s="84"/>
    </row>
    <row r="31" spans="2:12">
      <c r="B31" s="69">
        <v>11</v>
      </c>
      <c r="C31" s="107">
        <v>-500</v>
      </c>
      <c r="D31" s="107">
        <v>-600</v>
      </c>
      <c r="E31" s="117">
        <f t="shared" si="0"/>
        <v>100</v>
      </c>
      <c r="G31" s="107"/>
      <c r="H31" s="84"/>
    </row>
    <row r="32" spans="2:12">
      <c r="B32" s="69">
        <v>12</v>
      </c>
      <c r="C32" s="107">
        <v>-500</v>
      </c>
      <c r="D32" s="107">
        <v>-600</v>
      </c>
      <c r="E32" s="117">
        <f t="shared" si="0"/>
        <v>100</v>
      </c>
      <c r="G32" s="74"/>
      <c r="H32" s="84"/>
    </row>
    <row r="33" spans="2:8">
      <c r="B33" s="59">
        <v>13</v>
      </c>
      <c r="C33" s="107">
        <v>-500</v>
      </c>
      <c r="D33" s="107">
        <v>-600</v>
      </c>
      <c r="E33" s="117">
        <f t="shared" si="0"/>
        <v>100</v>
      </c>
      <c r="H33" s="84"/>
    </row>
    <row r="34" spans="2:8">
      <c r="B34" s="69">
        <v>14</v>
      </c>
      <c r="C34" s="107">
        <v>-500</v>
      </c>
      <c r="D34" s="107">
        <v>-300</v>
      </c>
      <c r="E34" s="117">
        <f t="shared" si="0"/>
        <v>-200</v>
      </c>
      <c r="G34" s="74"/>
      <c r="H34" s="84"/>
    </row>
    <row r="35" spans="2:8">
      <c r="B35" s="69">
        <v>15</v>
      </c>
      <c r="C35" s="107">
        <v>0</v>
      </c>
      <c r="D35" s="107">
        <v>0</v>
      </c>
      <c r="E35" s="117">
        <f>C35-D35</f>
        <v>0</v>
      </c>
      <c r="G35" s="74"/>
      <c r="H35" s="84"/>
    </row>
    <row r="36" spans="2:8">
      <c r="B36" s="62"/>
      <c r="C36" s="140"/>
      <c r="D36" s="97"/>
      <c r="E36" s="64"/>
      <c r="G36" s="74"/>
      <c r="H36" s="84"/>
    </row>
    <row r="37" spans="2:8">
      <c r="B37" s="93"/>
      <c r="C37" s="74"/>
      <c r="D37" s="84"/>
      <c r="F37" s="24"/>
      <c r="G37" s="74"/>
    </row>
    <row r="38" spans="2:8">
      <c r="B38" s="66" t="s">
        <v>228</v>
      </c>
      <c r="C38" s="219" t="s">
        <v>130</v>
      </c>
      <c r="D38" s="220"/>
      <c r="E38" s="144" t="s">
        <v>229</v>
      </c>
      <c r="F38" s="221">
        <f>IRR(E20:E34)</f>
        <v>0.2026435900052066</v>
      </c>
      <c r="G38" s="74"/>
    </row>
    <row r="39" spans="2:8">
      <c r="C39" s="74"/>
    </row>
    <row r="40" spans="2:8">
      <c r="C40" s="74"/>
    </row>
    <row r="41" spans="2:8" ht="17.399999999999999">
      <c r="B41" s="25" t="s">
        <v>117</v>
      </c>
      <c r="C41" s="74"/>
    </row>
    <row r="42" spans="2:8">
      <c r="C42" s="74"/>
    </row>
    <row r="43" spans="2:8">
      <c r="D43" s="76"/>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C3FB0-EE27-4024-8234-B5E50F6543FF}">
  <dimension ref="A1:L55"/>
  <sheetViews>
    <sheetView workbookViewId="0">
      <selection sqref="A1:XFD1048576"/>
    </sheetView>
  </sheetViews>
  <sheetFormatPr defaultRowHeight="14.4"/>
  <cols>
    <col min="3" max="5" width="10.6640625" customWidth="1"/>
    <col min="9" max="9" width="10.6640625" customWidth="1"/>
    <col min="259" max="261" width="10.6640625" customWidth="1"/>
    <col min="265" max="265" width="10.6640625" customWidth="1"/>
    <col min="515" max="517" width="10.6640625" customWidth="1"/>
    <col min="521" max="521" width="10.6640625" customWidth="1"/>
    <col min="771" max="773" width="10.6640625" customWidth="1"/>
    <col min="777" max="777" width="10.6640625" customWidth="1"/>
    <col min="1027" max="1029" width="10.6640625" customWidth="1"/>
    <col min="1033" max="1033" width="10.6640625" customWidth="1"/>
    <col min="1283" max="1285" width="10.6640625" customWidth="1"/>
    <col min="1289" max="1289" width="10.6640625" customWidth="1"/>
    <col min="1539" max="1541" width="10.6640625" customWidth="1"/>
    <col min="1545" max="1545" width="10.6640625" customWidth="1"/>
    <col min="1795" max="1797" width="10.6640625" customWidth="1"/>
    <col min="1801" max="1801" width="10.6640625" customWidth="1"/>
    <col min="2051" max="2053" width="10.6640625" customWidth="1"/>
    <col min="2057" max="2057" width="10.6640625" customWidth="1"/>
    <col min="2307" max="2309" width="10.6640625" customWidth="1"/>
    <col min="2313" max="2313" width="10.6640625" customWidth="1"/>
    <col min="2563" max="2565" width="10.6640625" customWidth="1"/>
    <col min="2569" max="2569" width="10.6640625" customWidth="1"/>
    <col min="2819" max="2821" width="10.6640625" customWidth="1"/>
    <col min="2825" max="2825" width="10.6640625" customWidth="1"/>
    <col min="3075" max="3077" width="10.6640625" customWidth="1"/>
    <col min="3081" max="3081" width="10.6640625" customWidth="1"/>
    <col min="3331" max="3333" width="10.6640625" customWidth="1"/>
    <col min="3337" max="3337" width="10.6640625" customWidth="1"/>
    <col min="3587" max="3589" width="10.6640625" customWidth="1"/>
    <col min="3593" max="3593" width="10.6640625" customWidth="1"/>
    <col min="3843" max="3845" width="10.6640625" customWidth="1"/>
    <col min="3849" max="3849" width="10.6640625" customWidth="1"/>
    <col min="4099" max="4101" width="10.6640625" customWidth="1"/>
    <col min="4105" max="4105" width="10.6640625" customWidth="1"/>
    <col min="4355" max="4357" width="10.6640625" customWidth="1"/>
    <col min="4361" max="4361" width="10.6640625" customWidth="1"/>
    <col min="4611" max="4613" width="10.6640625" customWidth="1"/>
    <col min="4617" max="4617" width="10.6640625" customWidth="1"/>
    <col min="4867" max="4869" width="10.6640625" customWidth="1"/>
    <col min="4873" max="4873" width="10.6640625" customWidth="1"/>
    <col min="5123" max="5125" width="10.6640625" customWidth="1"/>
    <col min="5129" max="5129" width="10.6640625" customWidth="1"/>
    <col min="5379" max="5381" width="10.6640625" customWidth="1"/>
    <col min="5385" max="5385" width="10.6640625" customWidth="1"/>
    <col min="5635" max="5637" width="10.6640625" customWidth="1"/>
    <col min="5641" max="5641" width="10.6640625" customWidth="1"/>
    <col min="5891" max="5893" width="10.6640625" customWidth="1"/>
    <col min="5897" max="5897" width="10.6640625" customWidth="1"/>
    <col min="6147" max="6149" width="10.6640625" customWidth="1"/>
    <col min="6153" max="6153" width="10.6640625" customWidth="1"/>
    <col min="6403" max="6405" width="10.6640625" customWidth="1"/>
    <col min="6409" max="6409" width="10.6640625" customWidth="1"/>
    <col min="6659" max="6661" width="10.6640625" customWidth="1"/>
    <col min="6665" max="6665" width="10.6640625" customWidth="1"/>
    <col min="6915" max="6917" width="10.6640625" customWidth="1"/>
    <col min="6921" max="6921" width="10.6640625" customWidth="1"/>
    <col min="7171" max="7173" width="10.6640625" customWidth="1"/>
    <col min="7177" max="7177" width="10.6640625" customWidth="1"/>
    <col min="7427" max="7429" width="10.6640625" customWidth="1"/>
    <col min="7433" max="7433" width="10.6640625" customWidth="1"/>
    <col min="7683" max="7685" width="10.6640625" customWidth="1"/>
    <col min="7689" max="7689" width="10.6640625" customWidth="1"/>
    <col min="7939" max="7941" width="10.6640625" customWidth="1"/>
    <col min="7945" max="7945" width="10.6640625" customWidth="1"/>
    <col min="8195" max="8197" width="10.6640625" customWidth="1"/>
    <col min="8201" max="8201" width="10.6640625" customWidth="1"/>
    <col min="8451" max="8453" width="10.6640625" customWidth="1"/>
    <col min="8457" max="8457" width="10.6640625" customWidth="1"/>
    <col min="8707" max="8709" width="10.6640625" customWidth="1"/>
    <col min="8713" max="8713" width="10.6640625" customWidth="1"/>
    <col min="8963" max="8965" width="10.6640625" customWidth="1"/>
    <col min="8969" max="8969" width="10.6640625" customWidth="1"/>
    <col min="9219" max="9221" width="10.6640625" customWidth="1"/>
    <col min="9225" max="9225" width="10.6640625" customWidth="1"/>
    <col min="9475" max="9477" width="10.6640625" customWidth="1"/>
    <col min="9481" max="9481" width="10.6640625" customWidth="1"/>
    <col min="9731" max="9733" width="10.6640625" customWidth="1"/>
    <col min="9737" max="9737" width="10.6640625" customWidth="1"/>
    <col min="9987" max="9989" width="10.6640625" customWidth="1"/>
    <col min="9993" max="9993" width="10.6640625" customWidth="1"/>
    <col min="10243" max="10245" width="10.6640625" customWidth="1"/>
    <col min="10249" max="10249" width="10.6640625" customWidth="1"/>
    <col min="10499" max="10501" width="10.6640625" customWidth="1"/>
    <col min="10505" max="10505" width="10.6640625" customWidth="1"/>
    <col min="10755" max="10757" width="10.6640625" customWidth="1"/>
    <col min="10761" max="10761" width="10.6640625" customWidth="1"/>
    <col min="11011" max="11013" width="10.6640625" customWidth="1"/>
    <col min="11017" max="11017" width="10.6640625" customWidth="1"/>
    <col min="11267" max="11269" width="10.6640625" customWidth="1"/>
    <col min="11273" max="11273" width="10.6640625" customWidth="1"/>
    <col min="11523" max="11525" width="10.6640625" customWidth="1"/>
    <col min="11529" max="11529" width="10.6640625" customWidth="1"/>
    <col min="11779" max="11781" width="10.6640625" customWidth="1"/>
    <col min="11785" max="11785" width="10.6640625" customWidth="1"/>
    <col min="12035" max="12037" width="10.6640625" customWidth="1"/>
    <col min="12041" max="12041" width="10.6640625" customWidth="1"/>
    <col min="12291" max="12293" width="10.6640625" customWidth="1"/>
    <col min="12297" max="12297" width="10.6640625" customWidth="1"/>
    <col min="12547" max="12549" width="10.6640625" customWidth="1"/>
    <col min="12553" max="12553" width="10.6640625" customWidth="1"/>
    <col min="12803" max="12805" width="10.6640625" customWidth="1"/>
    <col min="12809" max="12809" width="10.6640625" customWidth="1"/>
    <col min="13059" max="13061" width="10.6640625" customWidth="1"/>
    <col min="13065" max="13065" width="10.6640625" customWidth="1"/>
    <col min="13315" max="13317" width="10.6640625" customWidth="1"/>
    <col min="13321" max="13321" width="10.6640625" customWidth="1"/>
    <col min="13571" max="13573" width="10.6640625" customWidth="1"/>
    <col min="13577" max="13577" width="10.6640625" customWidth="1"/>
    <col min="13827" max="13829" width="10.6640625" customWidth="1"/>
    <col min="13833" max="13833" width="10.6640625" customWidth="1"/>
    <col min="14083" max="14085" width="10.6640625" customWidth="1"/>
    <col min="14089" max="14089" width="10.6640625" customWidth="1"/>
    <col min="14339" max="14341" width="10.6640625" customWidth="1"/>
    <col min="14345" max="14345" width="10.6640625" customWidth="1"/>
    <col min="14595" max="14597" width="10.6640625" customWidth="1"/>
    <col min="14601" max="14601" width="10.6640625" customWidth="1"/>
    <col min="14851" max="14853" width="10.6640625" customWidth="1"/>
    <col min="14857" max="14857" width="10.6640625" customWidth="1"/>
    <col min="15107" max="15109" width="10.6640625" customWidth="1"/>
    <col min="15113" max="15113" width="10.6640625" customWidth="1"/>
    <col min="15363" max="15365" width="10.6640625" customWidth="1"/>
    <col min="15369" max="15369" width="10.6640625" customWidth="1"/>
    <col min="15619" max="15621" width="10.6640625" customWidth="1"/>
    <col min="15625" max="15625" width="10.6640625" customWidth="1"/>
    <col min="15875" max="15877" width="10.6640625" customWidth="1"/>
    <col min="15881" max="15881" width="10.6640625" customWidth="1"/>
    <col min="16131" max="16133" width="10.6640625" customWidth="1"/>
    <col min="16137" max="16137" width="10.6640625" customWidth="1"/>
  </cols>
  <sheetData>
    <row r="1" spans="1:12" ht="17.399999999999999">
      <c r="D1" s="43" t="str">
        <f>[13]step1!D1</f>
        <v>Rate-of-return analysis - multiple alternatives</v>
      </c>
    </row>
    <row r="2" spans="1:12" ht="17.399999999999999">
      <c r="D2" s="43" t="str">
        <f>[13]step1!D2</f>
        <v>Mold design problems</v>
      </c>
    </row>
    <row r="4" spans="1:12">
      <c r="B4" s="44" t="str">
        <f>[13]step1!B4</f>
        <v>Taipei Personality Ltd. makes plastic figures of celebrities.  They are considering four mold</v>
      </c>
      <c r="C4" s="45"/>
      <c r="D4" s="45"/>
      <c r="E4" s="45"/>
      <c r="F4" s="45"/>
      <c r="G4" s="45"/>
      <c r="H4" s="45"/>
      <c r="I4" s="46"/>
    </row>
    <row r="5" spans="1:12">
      <c r="B5" s="47" t="str">
        <f>[13]step1!B5</f>
        <v>alternatives for the popular Frodo figure.  The TripleA cavity mold costs $19500 to make and</v>
      </c>
      <c r="C5" s="48"/>
      <c r="D5" s="48"/>
      <c r="E5" s="48"/>
      <c r="F5" s="48"/>
      <c r="G5" s="48"/>
      <c r="H5" s="49"/>
      <c r="I5" s="50"/>
    </row>
    <row r="6" spans="1:12">
      <c r="B6" s="47" t="str">
        <f>[13]step1!B6</f>
        <v>$3000 per year for production.  The TripleB cavity mold costs $21300 to make and $1800</v>
      </c>
      <c r="C6" s="48"/>
      <c r="D6" s="48"/>
      <c r="E6" s="48"/>
      <c r="F6" s="48"/>
      <c r="G6" s="48"/>
      <c r="H6" s="48"/>
      <c r="I6" s="50"/>
    </row>
    <row r="7" spans="1:12">
      <c r="B7" s="47" t="str">
        <f>[13]step1!B7</f>
        <v>per year for production.  The Double cavity mold costs $8400 to make and $7200 per year</v>
      </c>
      <c r="C7" s="48"/>
      <c r="D7" s="48"/>
      <c r="E7" s="48"/>
      <c r="F7" s="48"/>
      <c r="G7" s="48"/>
      <c r="H7" s="48"/>
      <c r="I7" s="50"/>
    </row>
    <row r="8" spans="1:12">
      <c r="B8" s="47" t="str">
        <f>[13]step1!B8</f>
        <v>for production.  They can make 3 Single cavity molds costing $2500 each to make, with</v>
      </c>
      <c r="C8" s="48"/>
      <c r="D8" s="48"/>
      <c r="E8" s="48"/>
      <c r="F8" s="48"/>
      <c r="G8" s="48"/>
      <c r="H8" s="48"/>
      <c r="I8" s="50"/>
    </row>
    <row r="9" spans="1:12">
      <c r="B9" s="47" t="str">
        <f>[13]step1!B9</f>
        <v>$9600 total production cost per year.  Each mold has $2000 salvage value.  What mold should</v>
      </c>
      <c r="C9" s="48"/>
      <c r="D9" s="48"/>
      <c r="E9" s="48"/>
      <c r="F9" s="222"/>
      <c r="G9" s="48"/>
      <c r="H9" s="48"/>
      <c r="I9" s="50"/>
    </row>
    <row r="10" spans="1:12">
      <c r="B10" s="51" t="str">
        <f>[13]step1!B10</f>
        <v>be used if the MARR is 20% per year, using ROR analysis and a 4 year planning horizon?</v>
      </c>
      <c r="C10" s="52"/>
      <c r="D10" s="52"/>
      <c r="E10" s="52"/>
      <c r="F10" s="52"/>
      <c r="G10" s="52"/>
      <c r="H10" s="52"/>
      <c r="I10" s="54"/>
    </row>
    <row r="11" spans="1:12">
      <c r="L11" s="128"/>
    </row>
    <row r="12" spans="1:12" ht="15.6">
      <c r="A12" s="55" t="s">
        <v>97</v>
      </c>
      <c r="B12" s="56"/>
      <c r="C12" s="57"/>
      <c r="D12" s="57"/>
      <c r="E12" s="57"/>
      <c r="F12" s="57"/>
      <c r="G12" s="57"/>
      <c r="H12" s="57"/>
      <c r="I12" s="58"/>
      <c r="L12" s="128"/>
    </row>
    <row r="13" spans="1:12" ht="15.6">
      <c r="A13" s="59"/>
      <c r="B13" s="60" t="s">
        <v>194</v>
      </c>
      <c r="I13" s="61"/>
    </row>
    <row r="14" spans="1:12">
      <c r="A14" s="62"/>
      <c r="B14" s="63"/>
      <c r="C14" s="63"/>
      <c r="D14" s="63"/>
      <c r="E14" s="63"/>
      <c r="F14" s="63"/>
      <c r="G14" s="63"/>
      <c r="H14" s="63"/>
      <c r="I14" s="64"/>
    </row>
    <row r="18" spans="2:12">
      <c r="G18" s="93"/>
      <c r="H18" s="70"/>
      <c r="I18" s="93"/>
    </row>
    <row r="19" spans="2:12">
      <c r="B19" s="78"/>
      <c r="C19" s="57"/>
      <c r="D19" s="216" t="s">
        <v>224</v>
      </c>
      <c r="E19" s="58"/>
      <c r="G19" s="109"/>
      <c r="H19" s="110"/>
      <c r="I19" s="93"/>
    </row>
    <row r="20" spans="2:12">
      <c r="B20" s="69" t="s">
        <v>99</v>
      </c>
      <c r="C20" s="24" t="s">
        <v>230</v>
      </c>
      <c r="D20" s="217" t="s">
        <v>231</v>
      </c>
      <c r="E20" s="61" t="s">
        <v>227</v>
      </c>
      <c r="G20" s="93"/>
      <c r="H20" s="70"/>
      <c r="I20" s="152"/>
      <c r="K20" s="132"/>
      <c r="L20" s="84"/>
    </row>
    <row r="21" spans="2:12">
      <c r="B21" s="59">
        <v>0</v>
      </c>
      <c r="C21" s="107">
        <v>-7500</v>
      </c>
      <c r="D21" s="107">
        <v>-8400</v>
      </c>
      <c r="E21" s="117">
        <f>D21-C21</f>
        <v>-900</v>
      </c>
      <c r="F21" s="93"/>
      <c r="G21" s="218"/>
      <c r="H21" s="70"/>
      <c r="I21" s="93"/>
    </row>
    <row r="22" spans="2:12">
      <c r="B22" s="59">
        <v>1</v>
      </c>
      <c r="C22" s="107">
        <v>-9600</v>
      </c>
      <c r="D22" s="107">
        <v>-7200</v>
      </c>
      <c r="E22" s="117">
        <f>D22-C22</f>
        <v>2400</v>
      </c>
      <c r="F22" s="70"/>
      <c r="G22" s="107"/>
      <c r="H22" s="111"/>
      <c r="I22" s="93"/>
    </row>
    <row r="23" spans="2:12">
      <c r="B23" s="69">
        <v>2</v>
      </c>
      <c r="C23" s="107">
        <v>-9600</v>
      </c>
      <c r="D23" s="107">
        <v>-7200</v>
      </c>
      <c r="E23" s="117">
        <f>D23-C23</f>
        <v>2400</v>
      </c>
      <c r="F23" s="94"/>
      <c r="G23" s="107"/>
      <c r="H23" s="111"/>
      <c r="I23" s="93"/>
    </row>
    <row r="24" spans="2:12">
      <c r="B24" s="69">
        <v>3</v>
      </c>
      <c r="C24" s="107">
        <v>-9600</v>
      </c>
      <c r="D24" s="107">
        <v>-7200</v>
      </c>
      <c r="E24" s="117">
        <f>D24-C24</f>
        <v>2400</v>
      </c>
      <c r="F24" s="93"/>
      <c r="G24" s="107"/>
      <c r="H24" s="107"/>
      <c r="I24" s="160"/>
    </row>
    <row r="25" spans="2:12">
      <c r="B25" s="59">
        <v>4</v>
      </c>
      <c r="C25" s="107">
        <v>-3600</v>
      </c>
      <c r="D25" s="107">
        <v>-5200</v>
      </c>
      <c r="E25" s="117">
        <f>D25-C25</f>
        <v>-1600</v>
      </c>
      <c r="G25" s="74"/>
      <c r="H25" s="107"/>
      <c r="I25" s="93"/>
    </row>
    <row r="26" spans="2:12">
      <c r="B26" s="62"/>
      <c r="C26" s="140"/>
      <c r="D26" s="97"/>
      <c r="E26" s="64"/>
      <c r="G26" s="74"/>
      <c r="H26" s="107"/>
      <c r="I26" s="93"/>
    </row>
    <row r="27" spans="2:12">
      <c r="B27" s="93"/>
      <c r="C27" s="74"/>
      <c r="D27" s="84"/>
      <c r="F27" s="24"/>
      <c r="G27" s="74"/>
      <c r="H27" s="107"/>
      <c r="I27" s="93"/>
    </row>
    <row r="28" spans="2:12">
      <c r="B28" s="66" t="s">
        <v>228</v>
      </c>
      <c r="C28" s="223"/>
      <c r="D28" s="223" t="s">
        <v>130</v>
      </c>
      <c r="E28" s="144" t="s">
        <v>229</v>
      </c>
      <c r="F28" s="221">
        <f>IRR(E21:E25)</f>
        <v>2.5806705772002716</v>
      </c>
      <c r="G28" s="74"/>
      <c r="H28" s="109"/>
    </row>
    <row r="29" spans="2:12">
      <c r="H29" s="107"/>
    </row>
    <row r="30" spans="2:12">
      <c r="C30" s="107"/>
      <c r="D30" s="107"/>
      <c r="E30" s="107"/>
      <c r="G30" s="107"/>
      <c r="H30" s="84"/>
    </row>
    <row r="31" spans="2:12">
      <c r="B31" s="78"/>
      <c r="C31" s="57"/>
      <c r="D31" s="216" t="s">
        <v>224</v>
      </c>
      <c r="E31" s="58"/>
      <c r="G31" s="107"/>
      <c r="H31" s="84"/>
    </row>
    <row r="32" spans="2:12">
      <c r="B32" s="69" t="s">
        <v>99</v>
      </c>
      <c r="C32" s="217" t="s">
        <v>231</v>
      </c>
      <c r="D32" s="217" t="s">
        <v>232</v>
      </c>
      <c r="E32" s="61" t="s">
        <v>227</v>
      </c>
      <c r="G32" s="74"/>
      <c r="H32" s="84"/>
    </row>
    <row r="33" spans="2:8">
      <c r="B33" s="59">
        <v>0</v>
      </c>
      <c r="C33" s="107">
        <v>-8400</v>
      </c>
      <c r="D33" s="107">
        <v>-19500</v>
      </c>
      <c r="E33" s="117">
        <f>D33-C33</f>
        <v>-11100</v>
      </c>
      <c r="F33" s="93"/>
      <c r="H33" s="84"/>
    </row>
    <row r="34" spans="2:8">
      <c r="B34" s="59">
        <v>1</v>
      </c>
      <c r="C34" s="107">
        <v>-7200</v>
      </c>
      <c r="D34" s="107">
        <v>-3000</v>
      </c>
      <c r="E34" s="117">
        <f>D34-C34</f>
        <v>4200</v>
      </c>
      <c r="F34" s="70"/>
      <c r="G34" s="74"/>
      <c r="H34" s="84"/>
    </row>
    <row r="35" spans="2:8">
      <c r="B35" s="69">
        <v>2</v>
      </c>
      <c r="C35" s="107">
        <v>-7200</v>
      </c>
      <c r="D35" s="107">
        <v>-3000</v>
      </c>
      <c r="E35" s="117">
        <f>D35-C35</f>
        <v>4200</v>
      </c>
      <c r="F35" s="94"/>
      <c r="H35" s="84"/>
    </row>
    <row r="36" spans="2:8">
      <c r="B36" s="69">
        <v>3</v>
      </c>
      <c r="C36" s="107">
        <v>-7200</v>
      </c>
      <c r="D36" s="107">
        <v>-3000</v>
      </c>
      <c r="E36" s="117">
        <f>D36-C36</f>
        <v>4200</v>
      </c>
      <c r="F36" s="93"/>
      <c r="H36" s="84"/>
    </row>
    <row r="37" spans="2:8">
      <c r="B37" s="59">
        <v>4</v>
      </c>
      <c r="C37" s="107">
        <v>-5200</v>
      </c>
      <c r="D37" s="107">
        <v>-1000</v>
      </c>
      <c r="E37" s="117">
        <f>D37-C37</f>
        <v>4200</v>
      </c>
    </row>
    <row r="38" spans="2:8">
      <c r="B38" s="62"/>
      <c r="C38" s="140"/>
      <c r="D38" s="97"/>
      <c r="E38" s="64"/>
    </row>
    <row r="39" spans="2:8">
      <c r="B39" s="93"/>
      <c r="C39" s="74"/>
      <c r="D39" s="84"/>
      <c r="F39" s="24"/>
    </row>
    <row r="40" spans="2:8">
      <c r="B40" s="66" t="s">
        <v>228</v>
      </c>
      <c r="C40" s="223" t="s">
        <v>130</v>
      </c>
      <c r="D40" s="223"/>
      <c r="E40" s="144" t="s">
        <v>229</v>
      </c>
      <c r="F40" s="221">
        <f>IRR(E33:E37)</f>
        <v>0.18915781137258403</v>
      </c>
    </row>
    <row r="42" spans="2:8">
      <c r="C42" s="74"/>
    </row>
    <row r="43" spans="2:8">
      <c r="B43" s="78"/>
      <c r="C43" s="57"/>
      <c r="D43" s="216" t="s">
        <v>224</v>
      </c>
      <c r="E43" s="58"/>
    </row>
    <row r="44" spans="2:8">
      <c r="B44" s="69" t="s">
        <v>99</v>
      </c>
      <c r="C44" s="217" t="s">
        <v>231</v>
      </c>
      <c r="D44" s="217" t="s">
        <v>233</v>
      </c>
      <c r="E44" s="61" t="s">
        <v>227</v>
      </c>
    </row>
    <row r="45" spans="2:8">
      <c r="B45" s="59">
        <v>0</v>
      </c>
      <c r="C45" s="107">
        <v>-8400</v>
      </c>
      <c r="D45" s="107">
        <v>-21300</v>
      </c>
      <c r="E45" s="117">
        <f>D45-C45</f>
        <v>-12900</v>
      </c>
      <c r="F45" s="93"/>
    </row>
    <row r="46" spans="2:8">
      <c r="B46" s="59">
        <v>1</v>
      </c>
      <c r="C46" s="107">
        <v>-7200</v>
      </c>
      <c r="D46" s="107">
        <v>-1800</v>
      </c>
      <c r="E46" s="117">
        <f>D46-C46</f>
        <v>5400</v>
      </c>
      <c r="F46" s="70"/>
    </row>
    <row r="47" spans="2:8">
      <c r="B47" s="69">
        <v>2</v>
      </c>
      <c r="C47" s="107">
        <v>-7200</v>
      </c>
      <c r="D47" s="107">
        <v>-1800</v>
      </c>
      <c r="E47" s="117">
        <f>D47-C47</f>
        <v>5400</v>
      </c>
      <c r="F47" s="94"/>
    </row>
    <row r="48" spans="2:8">
      <c r="B48" s="69">
        <v>3</v>
      </c>
      <c r="C48" s="107">
        <v>-7200</v>
      </c>
      <c r="D48" s="107">
        <v>-1800</v>
      </c>
      <c r="E48" s="117">
        <f>D48-C48</f>
        <v>5400</v>
      </c>
      <c r="F48" s="93"/>
    </row>
    <row r="49" spans="2:6">
      <c r="B49" s="59">
        <v>4</v>
      </c>
      <c r="C49" s="107">
        <v>-5200</v>
      </c>
      <c r="D49" s="107">
        <v>200</v>
      </c>
      <c r="E49" s="117">
        <f>D49-C49</f>
        <v>5400</v>
      </c>
    </row>
    <row r="50" spans="2:6">
      <c r="B50" s="62"/>
      <c r="C50" s="140"/>
      <c r="D50" s="97"/>
      <c r="E50" s="64"/>
    </row>
    <row r="51" spans="2:6">
      <c r="B51" s="93"/>
      <c r="C51" s="74"/>
      <c r="D51" s="84"/>
      <c r="F51" s="24"/>
    </row>
    <row r="52" spans="2:6">
      <c r="B52" s="66" t="s">
        <v>228</v>
      </c>
      <c r="C52" s="219"/>
      <c r="D52" s="220" t="s">
        <v>130</v>
      </c>
      <c r="E52" s="144" t="s">
        <v>229</v>
      </c>
      <c r="F52" s="221">
        <f>IRR(E45:E58)</f>
        <v>0.24357085770948173</v>
      </c>
    </row>
    <row r="55" spans="2:6" ht="17.399999999999999">
      <c r="B55" s="25" t="s">
        <v>117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A5D5C-0FA3-4B09-BCC2-8E6958396860}">
  <dimension ref="A1:L43"/>
  <sheetViews>
    <sheetView workbookViewId="0">
      <selection sqref="A1:XFD1048576"/>
    </sheetView>
  </sheetViews>
  <sheetFormatPr defaultRowHeight="14.4"/>
  <cols>
    <col min="3" max="3" width="11.6640625" customWidth="1"/>
    <col min="4" max="5" width="10.6640625" customWidth="1"/>
    <col min="6" max="6" width="11.6640625" customWidth="1"/>
    <col min="8" max="9" width="5.6640625" customWidth="1"/>
    <col min="12" max="12" width="10.6640625" hidden="1" customWidth="1"/>
    <col min="259" max="259" width="11.6640625" customWidth="1"/>
    <col min="260" max="261" width="10.6640625" customWidth="1"/>
    <col min="262" max="262" width="11.6640625" customWidth="1"/>
    <col min="264" max="265" width="5.6640625" customWidth="1"/>
    <col min="268" max="268" width="0" hidden="1" customWidth="1"/>
    <col min="515" max="515" width="11.6640625" customWidth="1"/>
    <col min="516" max="517" width="10.6640625" customWidth="1"/>
    <col min="518" max="518" width="11.6640625" customWidth="1"/>
    <col min="520" max="521" width="5.6640625" customWidth="1"/>
    <col min="524" max="524" width="0" hidden="1" customWidth="1"/>
    <col min="771" max="771" width="11.6640625" customWidth="1"/>
    <col min="772" max="773" width="10.6640625" customWidth="1"/>
    <col min="774" max="774" width="11.6640625" customWidth="1"/>
    <col min="776" max="777" width="5.6640625" customWidth="1"/>
    <col min="780" max="780" width="0" hidden="1" customWidth="1"/>
    <col min="1027" max="1027" width="11.6640625" customWidth="1"/>
    <col min="1028" max="1029" width="10.6640625" customWidth="1"/>
    <col min="1030" max="1030" width="11.6640625" customWidth="1"/>
    <col min="1032" max="1033" width="5.6640625" customWidth="1"/>
    <col min="1036" max="1036" width="0" hidden="1" customWidth="1"/>
    <col min="1283" max="1283" width="11.6640625" customWidth="1"/>
    <col min="1284" max="1285" width="10.6640625" customWidth="1"/>
    <col min="1286" max="1286" width="11.6640625" customWidth="1"/>
    <col min="1288" max="1289" width="5.6640625" customWidth="1"/>
    <col min="1292" max="1292" width="0" hidden="1" customWidth="1"/>
    <col min="1539" max="1539" width="11.6640625" customWidth="1"/>
    <col min="1540" max="1541" width="10.6640625" customWidth="1"/>
    <col min="1542" max="1542" width="11.6640625" customWidth="1"/>
    <col min="1544" max="1545" width="5.6640625" customWidth="1"/>
    <col min="1548" max="1548" width="0" hidden="1" customWidth="1"/>
    <col min="1795" max="1795" width="11.6640625" customWidth="1"/>
    <col min="1796" max="1797" width="10.6640625" customWidth="1"/>
    <col min="1798" max="1798" width="11.6640625" customWidth="1"/>
    <col min="1800" max="1801" width="5.6640625" customWidth="1"/>
    <col min="1804" max="1804" width="0" hidden="1" customWidth="1"/>
    <col min="2051" max="2051" width="11.6640625" customWidth="1"/>
    <col min="2052" max="2053" width="10.6640625" customWidth="1"/>
    <col min="2054" max="2054" width="11.6640625" customWidth="1"/>
    <col min="2056" max="2057" width="5.6640625" customWidth="1"/>
    <col min="2060" max="2060" width="0" hidden="1" customWidth="1"/>
    <col min="2307" max="2307" width="11.6640625" customWidth="1"/>
    <col min="2308" max="2309" width="10.6640625" customWidth="1"/>
    <col min="2310" max="2310" width="11.6640625" customWidth="1"/>
    <col min="2312" max="2313" width="5.6640625" customWidth="1"/>
    <col min="2316" max="2316" width="0" hidden="1" customWidth="1"/>
    <col min="2563" max="2563" width="11.6640625" customWidth="1"/>
    <col min="2564" max="2565" width="10.6640625" customWidth="1"/>
    <col min="2566" max="2566" width="11.6640625" customWidth="1"/>
    <col min="2568" max="2569" width="5.6640625" customWidth="1"/>
    <col min="2572" max="2572" width="0" hidden="1" customWidth="1"/>
    <col min="2819" max="2819" width="11.6640625" customWidth="1"/>
    <col min="2820" max="2821" width="10.6640625" customWidth="1"/>
    <col min="2822" max="2822" width="11.6640625" customWidth="1"/>
    <col min="2824" max="2825" width="5.6640625" customWidth="1"/>
    <col min="2828" max="2828" width="0" hidden="1" customWidth="1"/>
    <col min="3075" max="3075" width="11.6640625" customWidth="1"/>
    <col min="3076" max="3077" width="10.6640625" customWidth="1"/>
    <col min="3078" max="3078" width="11.6640625" customWidth="1"/>
    <col min="3080" max="3081" width="5.6640625" customWidth="1"/>
    <col min="3084" max="3084" width="0" hidden="1" customWidth="1"/>
    <col min="3331" max="3331" width="11.6640625" customWidth="1"/>
    <col min="3332" max="3333" width="10.6640625" customWidth="1"/>
    <col min="3334" max="3334" width="11.6640625" customWidth="1"/>
    <col min="3336" max="3337" width="5.6640625" customWidth="1"/>
    <col min="3340" max="3340" width="0" hidden="1" customWidth="1"/>
    <col min="3587" max="3587" width="11.6640625" customWidth="1"/>
    <col min="3588" max="3589" width="10.6640625" customWidth="1"/>
    <col min="3590" max="3590" width="11.6640625" customWidth="1"/>
    <col min="3592" max="3593" width="5.6640625" customWidth="1"/>
    <col min="3596" max="3596" width="0" hidden="1" customWidth="1"/>
    <col min="3843" max="3843" width="11.6640625" customWidth="1"/>
    <col min="3844" max="3845" width="10.6640625" customWidth="1"/>
    <col min="3846" max="3846" width="11.6640625" customWidth="1"/>
    <col min="3848" max="3849" width="5.6640625" customWidth="1"/>
    <col min="3852" max="3852" width="0" hidden="1" customWidth="1"/>
    <col min="4099" max="4099" width="11.6640625" customWidth="1"/>
    <col min="4100" max="4101" width="10.6640625" customWidth="1"/>
    <col min="4102" max="4102" width="11.6640625" customWidth="1"/>
    <col min="4104" max="4105" width="5.6640625" customWidth="1"/>
    <col min="4108" max="4108" width="0" hidden="1" customWidth="1"/>
    <col min="4355" max="4355" width="11.6640625" customWidth="1"/>
    <col min="4356" max="4357" width="10.6640625" customWidth="1"/>
    <col min="4358" max="4358" width="11.6640625" customWidth="1"/>
    <col min="4360" max="4361" width="5.6640625" customWidth="1"/>
    <col min="4364" max="4364" width="0" hidden="1" customWidth="1"/>
    <col min="4611" max="4611" width="11.6640625" customWidth="1"/>
    <col min="4612" max="4613" width="10.6640625" customWidth="1"/>
    <col min="4614" max="4614" width="11.6640625" customWidth="1"/>
    <col min="4616" max="4617" width="5.6640625" customWidth="1"/>
    <col min="4620" max="4620" width="0" hidden="1" customWidth="1"/>
    <col min="4867" max="4867" width="11.6640625" customWidth="1"/>
    <col min="4868" max="4869" width="10.6640625" customWidth="1"/>
    <col min="4870" max="4870" width="11.6640625" customWidth="1"/>
    <col min="4872" max="4873" width="5.6640625" customWidth="1"/>
    <col min="4876" max="4876" width="0" hidden="1" customWidth="1"/>
    <col min="5123" max="5123" width="11.6640625" customWidth="1"/>
    <col min="5124" max="5125" width="10.6640625" customWidth="1"/>
    <col min="5126" max="5126" width="11.6640625" customWidth="1"/>
    <col min="5128" max="5129" width="5.6640625" customWidth="1"/>
    <col min="5132" max="5132" width="0" hidden="1" customWidth="1"/>
    <col min="5379" max="5379" width="11.6640625" customWidth="1"/>
    <col min="5380" max="5381" width="10.6640625" customWidth="1"/>
    <col min="5382" max="5382" width="11.6640625" customWidth="1"/>
    <col min="5384" max="5385" width="5.6640625" customWidth="1"/>
    <col min="5388" max="5388" width="0" hidden="1" customWidth="1"/>
    <col min="5635" max="5635" width="11.6640625" customWidth="1"/>
    <col min="5636" max="5637" width="10.6640625" customWidth="1"/>
    <col min="5638" max="5638" width="11.6640625" customWidth="1"/>
    <col min="5640" max="5641" width="5.6640625" customWidth="1"/>
    <col min="5644" max="5644" width="0" hidden="1" customWidth="1"/>
    <col min="5891" max="5891" width="11.6640625" customWidth="1"/>
    <col min="5892" max="5893" width="10.6640625" customWidth="1"/>
    <col min="5894" max="5894" width="11.6640625" customWidth="1"/>
    <col min="5896" max="5897" width="5.6640625" customWidth="1"/>
    <col min="5900" max="5900" width="0" hidden="1" customWidth="1"/>
    <col min="6147" max="6147" width="11.6640625" customWidth="1"/>
    <col min="6148" max="6149" width="10.6640625" customWidth="1"/>
    <col min="6150" max="6150" width="11.6640625" customWidth="1"/>
    <col min="6152" max="6153" width="5.6640625" customWidth="1"/>
    <col min="6156" max="6156" width="0" hidden="1" customWidth="1"/>
    <col min="6403" max="6403" width="11.6640625" customWidth="1"/>
    <col min="6404" max="6405" width="10.6640625" customWidth="1"/>
    <col min="6406" max="6406" width="11.6640625" customWidth="1"/>
    <col min="6408" max="6409" width="5.6640625" customWidth="1"/>
    <col min="6412" max="6412" width="0" hidden="1" customWidth="1"/>
    <col min="6659" max="6659" width="11.6640625" customWidth="1"/>
    <col min="6660" max="6661" width="10.6640625" customWidth="1"/>
    <col min="6662" max="6662" width="11.6640625" customWidth="1"/>
    <col min="6664" max="6665" width="5.6640625" customWidth="1"/>
    <col min="6668" max="6668" width="0" hidden="1" customWidth="1"/>
    <col min="6915" max="6915" width="11.6640625" customWidth="1"/>
    <col min="6916" max="6917" width="10.6640625" customWidth="1"/>
    <col min="6918" max="6918" width="11.6640625" customWidth="1"/>
    <col min="6920" max="6921" width="5.6640625" customWidth="1"/>
    <col min="6924" max="6924" width="0" hidden="1" customWidth="1"/>
    <col min="7171" max="7171" width="11.6640625" customWidth="1"/>
    <col min="7172" max="7173" width="10.6640625" customWidth="1"/>
    <col min="7174" max="7174" width="11.6640625" customWidth="1"/>
    <col min="7176" max="7177" width="5.6640625" customWidth="1"/>
    <col min="7180" max="7180" width="0" hidden="1" customWidth="1"/>
    <col min="7427" max="7427" width="11.6640625" customWidth="1"/>
    <col min="7428" max="7429" width="10.6640625" customWidth="1"/>
    <col min="7430" max="7430" width="11.6640625" customWidth="1"/>
    <col min="7432" max="7433" width="5.6640625" customWidth="1"/>
    <col min="7436" max="7436" width="0" hidden="1" customWidth="1"/>
    <col min="7683" max="7683" width="11.6640625" customWidth="1"/>
    <col min="7684" max="7685" width="10.6640625" customWidth="1"/>
    <col min="7686" max="7686" width="11.6640625" customWidth="1"/>
    <col min="7688" max="7689" width="5.6640625" customWidth="1"/>
    <col min="7692" max="7692" width="0" hidden="1" customWidth="1"/>
    <col min="7939" max="7939" width="11.6640625" customWidth="1"/>
    <col min="7940" max="7941" width="10.6640625" customWidth="1"/>
    <col min="7942" max="7942" width="11.6640625" customWidth="1"/>
    <col min="7944" max="7945" width="5.6640625" customWidth="1"/>
    <col min="7948" max="7948" width="0" hidden="1" customWidth="1"/>
    <col min="8195" max="8195" width="11.6640625" customWidth="1"/>
    <col min="8196" max="8197" width="10.6640625" customWidth="1"/>
    <col min="8198" max="8198" width="11.6640625" customWidth="1"/>
    <col min="8200" max="8201" width="5.6640625" customWidth="1"/>
    <col min="8204" max="8204" width="0" hidden="1" customWidth="1"/>
    <col min="8451" max="8451" width="11.6640625" customWidth="1"/>
    <col min="8452" max="8453" width="10.6640625" customWidth="1"/>
    <col min="8454" max="8454" width="11.6640625" customWidth="1"/>
    <col min="8456" max="8457" width="5.6640625" customWidth="1"/>
    <col min="8460" max="8460" width="0" hidden="1" customWidth="1"/>
    <col min="8707" max="8707" width="11.6640625" customWidth="1"/>
    <col min="8708" max="8709" width="10.6640625" customWidth="1"/>
    <col min="8710" max="8710" width="11.6640625" customWidth="1"/>
    <col min="8712" max="8713" width="5.6640625" customWidth="1"/>
    <col min="8716" max="8716" width="0" hidden="1" customWidth="1"/>
    <col min="8963" max="8963" width="11.6640625" customWidth="1"/>
    <col min="8964" max="8965" width="10.6640625" customWidth="1"/>
    <col min="8966" max="8966" width="11.6640625" customWidth="1"/>
    <col min="8968" max="8969" width="5.6640625" customWidth="1"/>
    <col min="8972" max="8972" width="0" hidden="1" customWidth="1"/>
    <col min="9219" max="9219" width="11.6640625" customWidth="1"/>
    <col min="9220" max="9221" width="10.6640625" customWidth="1"/>
    <col min="9222" max="9222" width="11.6640625" customWidth="1"/>
    <col min="9224" max="9225" width="5.6640625" customWidth="1"/>
    <col min="9228" max="9228" width="0" hidden="1" customWidth="1"/>
    <col min="9475" max="9475" width="11.6640625" customWidth="1"/>
    <col min="9476" max="9477" width="10.6640625" customWidth="1"/>
    <col min="9478" max="9478" width="11.6640625" customWidth="1"/>
    <col min="9480" max="9481" width="5.6640625" customWidth="1"/>
    <col min="9484" max="9484" width="0" hidden="1" customWidth="1"/>
    <col min="9731" max="9731" width="11.6640625" customWidth="1"/>
    <col min="9732" max="9733" width="10.6640625" customWidth="1"/>
    <col min="9734" max="9734" width="11.6640625" customWidth="1"/>
    <col min="9736" max="9737" width="5.6640625" customWidth="1"/>
    <col min="9740" max="9740" width="0" hidden="1" customWidth="1"/>
    <col min="9987" max="9987" width="11.6640625" customWidth="1"/>
    <col min="9988" max="9989" width="10.6640625" customWidth="1"/>
    <col min="9990" max="9990" width="11.6640625" customWidth="1"/>
    <col min="9992" max="9993" width="5.6640625" customWidth="1"/>
    <col min="9996" max="9996" width="0" hidden="1" customWidth="1"/>
    <col min="10243" max="10243" width="11.6640625" customWidth="1"/>
    <col min="10244" max="10245" width="10.6640625" customWidth="1"/>
    <col min="10246" max="10246" width="11.6640625" customWidth="1"/>
    <col min="10248" max="10249" width="5.6640625" customWidth="1"/>
    <col min="10252" max="10252" width="0" hidden="1" customWidth="1"/>
    <col min="10499" max="10499" width="11.6640625" customWidth="1"/>
    <col min="10500" max="10501" width="10.6640625" customWidth="1"/>
    <col min="10502" max="10502" width="11.6640625" customWidth="1"/>
    <col min="10504" max="10505" width="5.6640625" customWidth="1"/>
    <col min="10508" max="10508" width="0" hidden="1" customWidth="1"/>
    <col min="10755" max="10755" width="11.6640625" customWidth="1"/>
    <col min="10756" max="10757" width="10.6640625" customWidth="1"/>
    <col min="10758" max="10758" width="11.6640625" customWidth="1"/>
    <col min="10760" max="10761" width="5.6640625" customWidth="1"/>
    <col min="10764" max="10764" width="0" hidden="1" customWidth="1"/>
    <col min="11011" max="11011" width="11.6640625" customWidth="1"/>
    <col min="11012" max="11013" width="10.6640625" customWidth="1"/>
    <col min="11014" max="11014" width="11.6640625" customWidth="1"/>
    <col min="11016" max="11017" width="5.6640625" customWidth="1"/>
    <col min="11020" max="11020" width="0" hidden="1" customWidth="1"/>
    <col min="11267" max="11267" width="11.6640625" customWidth="1"/>
    <col min="11268" max="11269" width="10.6640625" customWidth="1"/>
    <col min="11270" max="11270" width="11.6640625" customWidth="1"/>
    <col min="11272" max="11273" width="5.6640625" customWidth="1"/>
    <col min="11276" max="11276" width="0" hidden="1" customWidth="1"/>
    <col min="11523" max="11523" width="11.6640625" customWidth="1"/>
    <col min="11524" max="11525" width="10.6640625" customWidth="1"/>
    <col min="11526" max="11526" width="11.6640625" customWidth="1"/>
    <col min="11528" max="11529" width="5.6640625" customWidth="1"/>
    <col min="11532" max="11532" width="0" hidden="1" customWidth="1"/>
    <col min="11779" max="11779" width="11.6640625" customWidth="1"/>
    <col min="11780" max="11781" width="10.6640625" customWidth="1"/>
    <col min="11782" max="11782" width="11.6640625" customWidth="1"/>
    <col min="11784" max="11785" width="5.6640625" customWidth="1"/>
    <col min="11788" max="11788" width="0" hidden="1" customWidth="1"/>
    <col min="12035" max="12035" width="11.6640625" customWidth="1"/>
    <col min="12036" max="12037" width="10.6640625" customWidth="1"/>
    <col min="12038" max="12038" width="11.6640625" customWidth="1"/>
    <col min="12040" max="12041" width="5.6640625" customWidth="1"/>
    <col min="12044" max="12044" width="0" hidden="1" customWidth="1"/>
    <col min="12291" max="12291" width="11.6640625" customWidth="1"/>
    <col min="12292" max="12293" width="10.6640625" customWidth="1"/>
    <col min="12294" max="12294" width="11.6640625" customWidth="1"/>
    <col min="12296" max="12297" width="5.6640625" customWidth="1"/>
    <col min="12300" max="12300" width="0" hidden="1" customWidth="1"/>
    <col min="12547" max="12547" width="11.6640625" customWidth="1"/>
    <col min="12548" max="12549" width="10.6640625" customWidth="1"/>
    <col min="12550" max="12550" width="11.6640625" customWidth="1"/>
    <col min="12552" max="12553" width="5.6640625" customWidth="1"/>
    <col min="12556" max="12556" width="0" hidden="1" customWidth="1"/>
    <col min="12803" max="12803" width="11.6640625" customWidth="1"/>
    <col min="12804" max="12805" width="10.6640625" customWidth="1"/>
    <col min="12806" max="12806" width="11.6640625" customWidth="1"/>
    <col min="12808" max="12809" width="5.6640625" customWidth="1"/>
    <col min="12812" max="12812" width="0" hidden="1" customWidth="1"/>
    <col min="13059" max="13059" width="11.6640625" customWidth="1"/>
    <col min="13060" max="13061" width="10.6640625" customWidth="1"/>
    <col min="13062" max="13062" width="11.6640625" customWidth="1"/>
    <col min="13064" max="13065" width="5.6640625" customWidth="1"/>
    <col min="13068" max="13068" width="0" hidden="1" customWidth="1"/>
    <col min="13315" max="13315" width="11.6640625" customWidth="1"/>
    <col min="13316" max="13317" width="10.6640625" customWidth="1"/>
    <col min="13318" max="13318" width="11.6640625" customWidth="1"/>
    <col min="13320" max="13321" width="5.6640625" customWidth="1"/>
    <col min="13324" max="13324" width="0" hidden="1" customWidth="1"/>
    <col min="13571" max="13571" width="11.6640625" customWidth="1"/>
    <col min="13572" max="13573" width="10.6640625" customWidth="1"/>
    <col min="13574" max="13574" width="11.6640625" customWidth="1"/>
    <col min="13576" max="13577" width="5.6640625" customWidth="1"/>
    <col min="13580" max="13580" width="0" hidden="1" customWidth="1"/>
    <col min="13827" max="13827" width="11.6640625" customWidth="1"/>
    <col min="13828" max="13829" width="10.6640625" customWidth="1"/>
    <col min="13830" max="13830" width="11.6640625" customWidth="1"/>
    <col min="13832" max="13833" width="5.6640625" customWidth="1"/>
    <col min="13836" max="13836" width="0" hidden="1" customWidth="1"/>
    <col min="14083" max="14083" width="11.6640625" customWidth="1"/>
    <col min="14084" max="14085" width="10.6640625" customWidth="1"/>
    <col min="14086" max="14086" width="11.6640625" customWidth="1"/>
    <col min="14088" max="14089" width="5.6640625" customWidth="1"/>
    <col min="14092" max="14092" width="0" hidden="1" customWidth="1"/>
    <col min="14339" max="14339" width="11.6640625" customWidth="1"/>
    <col min="14340" max="14341" width="10.6640625" customWidth="1"/>
    <col min="14342" max="14342" width="11.6640625" customWidth="1"/>
    <col min="14344" max="14345" width="5.6640625" customWidth="1"/>
    <col min="14348" max="14348" width="0" hidden="1" customWidth="1"/>
    <col min="14595" max="14595" width="11.6640625" customWidth="1"/>
    <col min="14596" max="14597" width="10.6640625" customWidth="1"/>
    <col min="14598" max="14598" width="11.6640625" customWidth="1"/>
    <col min="14600" max="14601" width="5.6640625" customWidth="1"/>
    <col min="14604" max="14604" width="0" hidden="1" customWidth="1"/>
    <col min="14851" max="14851" width="11.6640625" customWidth="1"/>
    <col min="14852" max="14853" width="10.6640625" customWidth="1"/>
    <col min="14854" max="14854" width="11.6640625" customWidth="1"/>
    <col min="14856" max="14857" width="5.6640625" customWidth="1"/>
    <col min="14860" max="14860" width="0" hidden="1" customWidth="1"/>
    <col min="15107" max="15107" width="11.6640625" customWidth="1"/>
    <col min="15108" max="15109" width="10.6640625" customWidth="1"/>
    <col min="15110" max="15110" width="11.6640625" customWidth="1"/>
    <col min="15112" max="15113" width="5.6640625" customWidth="1"/>
    <col min="15116" max="15116" width="0" hidden="1" customWidth="1"/>
    <col min="15363" max="15363" width="11.6640625" customWidth="1"/>
    <col min="15364" max="15365" width="10.6640625" customWidth="1"/>
    <col min="15366" max="15366" width="11.6640625" customWidth="1"/>
    <col min="15368" max="15369" width="5.6640625" customWidth="1"/>
    <col min="15372" max="15372" width="0" hidden="1" customWidth="1"/>
    <col min="15619" max="15619" width="11.6640625" customWidth="1"/>
    <col min="15620" max="15621" width="10.6640625" customWidth="1"/>
    <col min="15622" max="15622" width="11.6640625" customWidth="1"/>
    <col min="15624" max="15625" width="5.6640625" customWidth="1"/>
    <col min="15628" max="15628" width="0" hidden="1" customWidth="1"/>
    <col min="15875" max="15875" width="11.6640625" customWidth="1"/>
    <col min="15876" max="15877" width="10.6640625" customWidth="1"/>
    <col min="15878" max="15878" width="11.6640625" customWidth="1"/>
    <col min="15880" max="15881" width="5.6640625" customWidth="1"/>
    <col min="15884" max="15884" width="0" hidden="1" customWidth="1"/>
    <col min="16131" max="16131" width="11.6640625" customWidth="1"/>
    <col min="16132" max="16133" width="10.6640625" customWidth="1"/>
    <col min="16134" max="16134" width="11.6640625" customWidth="1"/>
    <col min="16136" max="16137" width="5.6640625" customWidth="1"/>
    <col min="16140" max="16140" width="0" hidden="1" customWidth="1"/>
  </cols>
  <sheetData>
    <row r="1" spans="1:12" ht="17.399999999999999">
      <c r="D1" s="43" t="s">
        <v>234</v>
      </c>
      <c r="L1" s="128">
        <v>240000</v>
      </c>
    </row>
    <row r="2" spans="1:12" ht="17.399999999999999">
      <c r="D2" s="43" t="s">
        <v>235</v>
      </c>
      <c r="L2" s="128">
        <v>20000</v>
      </c>
    </row>
    <row r="3" spans="1:12" ht="12.75" customHeight="1">
      <c r="D3" s="43"/>
      <c r="L3">
        <v>3</v>
      </c>
    </row>
    <row r="4" spans="1:12">
      <c r="L4" s="128">
        <v>30000</v>
      </c>
    </row>
    <row r="5" spans="1:12">
      <c r="B5" s="44" t="s">
        <v>236</v>
      </c>
      <c r="C5" s="45"/>
      <c r="D5" s="45"/>
      <c r="E5" s="45"/>
      <c r="F5" s="45"/>
      <c r="G5" s="45"/>
      <c r="H5" s="45"/>
      <c r="I5" s="46"/>
      <c r="L5">
        <v>2</v>
      </c>
    </row>
    <row r="6" spans="1:12">
      <c r="B6" s="47" t="str">
        <f>"by $"&amp;$L$7&amp;" per year for 4 years.  The equipment costs $"&amp;$L$1&amp;" to purchase at the"</f>
        <v>by $100000 per year for 4 years.  The equipment costs $240000 to purchase at the</v>
      </c>
      <c r="C6" s="48"/>
      <c r="D6" s="48"/>
      <c r="E6" s="48"/>
      <c r="F6" s="48"/>
      <c r="G6" s="48"/>
      <c r="H6" s="85"/>
      <c r="I6" s="50"/>
      <c r="L6" s="93">
        <v>4</v>
      </c>
    </row>
    <row r="7" spans="1:12">
      <c r="B7" s="47" t="str">
        <f>"end of year 0.  "&amp;$L$11&amp;" costs of $"&amp;$L$2&amp;" will be incurred in quarter "&amp;$L$3&amp;" of year 1."</f>
        <v>end of year 0.  Training costs of $20000 will be incurred in quarter 3 of year 1.</v>
      </c>
      <c r="C7" s="86"/>
      <c r="D7" s="48"/>
      <c r="E7" s="48"/>
      <c r="F7" s="48"/>
      <c r="G7" s="48"/>
      <c r="H7" s="48"/>
      <c r="I7" s="50"/>
      <c r="L7" s="128">
        <v>100000</v>
      </c>
    </row>
    <row r="8" spans="1:12">
      <c r="B8" s="47" t="str">
        <f>"An overhaul costs $"&amp;$L$4&amp;" and will happen in quarter "&amp;$L$5&amp;" of year "&amp;$L$6&amp;".  What is the"</f>
        <v>An overhaul costs $30000 and will happen in quarter 2 of year 4.  What is the</v>
      </c>
      <c r="C8" s="48"/>
      <c r="D8" s="48"/>
      <c r="E8" s="48"/>
      <c r="F8" s="48"/>
      <c r="G8" s="48"/>
      <c r="H8" s="48"/>
      <c r="I8" s="50"/>
      <c r="L8">
        <v>18</v>
      </c>
    </row>
    <row r="9" spans="1:12">
      <c r="B9" s="185" t="str">
        <f>"present worth of the machine revenues and costs if interest is an effective "&amp;$L$8&amp;"% per year?"</f>
        <v>present worth of the machine revenues and costs if interest is an effective 18% per year?</v>
      </c>
      <c r="C9" s="186"/>
      <c r="D9" s="52"/>
      <c r="E9" s="52"/>
      <c r="F9" s="52"/>
      <c r="G9" s="52"/>
      <c r="H9" s="52"/>
      <c r="I9" s="54"/>
      <c r="L9" s="65">
        <f>L8/100</f>
        <v>0.18</v>
      </c>
    </row>
    <row r="10" spans="1:12">
      <c r="F10" s="187"/>
    </row>
    <row r="11" spans="1:12">
      <c r="C11" s="63"/>
      <c r="L11" t="s">
        <v>237</v>
      </c>
    </row>
    <row r="12" spans="1:12" ht="15.6">
      <c r="A12" s="55" t="s">
        <v>118</v>
      </c>
      <c r="B12" s="87" t="s">
        <v>119</v>
      </c>
      <c r="C12" s="60" t="s">
        <v>238</v>
      </c>
      <c r="D12" s="57"/>
      <c r="E12" s="57"/>
      <c r="F12" s="57"/>
      <c r="G12" s="57"/>
      <c r="H12" s="57"/>
      <c r="I12" s="58"/>
    </row>
    <row r="13" spans="1:12" ht="15.6">
      <c r="A13" s="8"/>
      <c r="B13" s="88" t="s">
        <v>119</v>
      </c>
      <c r="C13" s="60" t="s">
        <v>239</v>
      </c>
      <c r="I13" s="61"/>
    </row>
    <row r="14" spans="1:12" ht="15.6">
      <c r="A14" s="8"/>
      <c r="C14" s="60" t="s">
        <v>120</v>
      </c>
      <c r="I14" s="61"/>
    </row>
    <row r="15" spans="1:12" ht="15.6">
      <c r="A15" s="89" t="s">
        <v>121</v>
      </c>
      <c r="B15" s="63"/>
      <c r="C15" s="90" t="s">
        <v>122</v>
      </c>
      <c r="D15" s="63"/>
      <c r="E15" s="63"/>
      <c r="F15" s="63"/>
      <c r="G15" s="63"/>
      <c r="H15" s="63"/>
      <c r="I15" s="64"/>
    </row>
    <row r="18" spans="2:8">
      <c r="B18" s="78"/>
      <c r="C18" s="57"/>
      <c r="D18" s="57"/>
      <c r="E18" s="57"/>
      <c r="F18" s="224"/>
      <c r="G18" s="130"/>
      <c r="H18" s="92"/>
    </row>
    <row r="19" spans="2:8">
      <c r="B19" s="59"/>
      <c r="F19" s="61"/>
      <c r="G19" s="84"/>
      <c r="H19" s="84"/>
    </row>
    <row r="20" spans="2:8">
      <c r="B20" s="139" t="s">
        <v>99</v>
      </c>
      <c r="C20" s="165" t="s">
        <v>240</v>
      </c>
      <c r="D20" s="225" t="s">
        <v>241</v>
      </c>
      <c r="E20" s="63"/>
      <c r="F20" s="215"/>
      <c r="G20" s="70"/>
      <c r="H20" s="84"/>
    </row>
    <row r="21" spans="2:8">
      <c r="B21" s="69">
        <v>0</v>
      </c>
      <c r="C21" s="226"/>
      <c r="D21" s="226"/>
      <c r="E21" s="84"/>
      <c r="F21" s="71"/>
      <c r="G21" s="84"/>
      <c r="H21" s="84"/>
    </row>
    <row r="22" spans="2:8">
      <c r="B22" s="69">
        <v>1</v>
      </c>
      <c r="C22" s="226"/>
      <c r="D22" s="226"/>
      <c r="E22" s="84"/>
      <c r="F22" s="71"/>
      <c r="G22" s="84"/>
      <c r="H22" s="84"/>
    </row>
    <row r="23" spans="2:8">
      <c r="B23" s="59">
        <v>2</v>
      </c>
      <c r="C23" s="226"/>
      <c r="D23" s="226"/>
      <c r="E23" s="84"/>
      <c r="F23" s="71"/>
      <c r="G23" s="84"/>
      <c r="H23" s="84"/>
    </row>
    <row r="24" spans="2:8">
      <c r="B24" s="69">
        <v>3</v>
      </c>
      <c r="C24" s="226"/>
      <c r="D24" s="226"/>
      <c r="E24" s="84"/>
      <c r="F24" s="71"/>
    </row>
    <row r="25" spans="2:8">
      <c r="B25" s="69">
        <v>4</v>
      </c>
      <c r="C25" s="226"/>
      <c r="D25" s="226"/>
      <c r="E25" s="84"/>
      <c r="F25" s="71"/>
      <c r="G25" s="65"/>
    </row>
    <row r="26" spans="2:8">
      <c r="B26" s="139"/>
      <c r="C26" s="165"/>
      <c r="D26" s="157"/>
      <c r="E26" s="157"/>
      <c r="F26" s="227"/>
      <c r="H26" s="84"/>
    </row>
    <row r="27" spans="2:8">
      <c r="C27" s="74"/>
    </row>
    <row r="28" spans="2:8">
      <c r="C28" s="74"/>
    </row>
    <row r="29" spans="2:8">
      <c r="C29" s="74"/>
    </row>
    <row r="30" spans="2:8">
      <c r="C30" s="74"/>
    </row>
    <row r="31" spans="2:8">
      <c r="C31" s="74"/>
    </row>
    <row r="32" spans="2:8">
      <c r="C32" s="74"/>
    </row>
    <row r="33" spans="3:3">
      <c r="C33" s="74"/>
    </row>
    <row r="34" spans="3:3">
      <c r="C34" s="74"/>
    </row>
    <row r="35" spans="3:3">
      <c r="C35" s="74"/>
    </row>
    <row r="36" spans="3:3">
      <c r="C36" s="74"/>
    </row>
    <row r="37" spans="3:3">
      <c r="C37" s="74"/>
    </row>
    <row r="38" spans="3:3">
      <c r="C38" s="74"/>
    </row>
    <row r="39" spans="3:3">
      <c r="C39" s="74"/>
    </row>
    <row r="40" spans="3:3">
      <c r="C40" s="74"/>
    </row>
    <row r="41" spans="3:3">
      <c r="C41" s="74"/>
    </row>
    <row r="42" spans="3:3">
      <c r="C42" s="74"/>
    </row>
    <row r="43" spans="3:3">
      <c r="C43" s="74"/>
    </row>
  </sheetData>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EDC7C-465F-4C4C-B4BD-D084A765016D}">
  <dimension ref="A1:M43"/>
  <sheetViews>
    <sheetView workbookViewId="0">
      <selection sqref="A1:XFD1048576"/>
    </sheetView>
  </sheetViews>
  <sheetFormatPr defaultRowHeight="14.4"/>
  <cols>
    <col min="4" max="5" width="11.6640625" customWidth="1"/>
    <col min="9" max="9" width="5.6640625" customWidth="1"/>
    <col min="12" max="12" width="9.109375" hidden="1" customWidth="1"/>
    <col min="13" max="13" width="0" hidden="1" customWidth="1"/>
    <col min="260" max="261" width="11.6640625" customWidth="1"/>
    <col min="265" max="265" width="5.6640625" customWidth="1"/>
    <col min="268" max="269" width="0" hidden="1" customWidth="1"/>
    <col min="516" max="517" width="11.6640625" customWidth="1"/>
    <col min="521" max="521" width="5.6640625" customWidth="1"/>
    <col min="524" max="525" width="0" hidden="1" customWidth="1"/>
    <col min="772" max="773" width="11.6640625" customWidth="1"/>
    <col min="777" max="777" width="5.6640625" customWidth="1"/>
    <col min="780" max="781" width="0" hidden="1" customWidth="1"/>
    <col min="1028" max="1029" width="11.6640625" customWidth="1"/>
    <col min="1033" max="1033" width="5.6640625" customWidth="1"/>
    <col min="1036" max="1037" width="0" hidden="1" customWidth="1"/>
    <col min="1284" max="1285" width="11.6640625" customWidth="1"/>
    <col min="1289" max="1289" width="5.6640625" customWidth="1"/>
    <col min="1292" max="1293" width="0" hidden="1" customWidth="1"/>
    <col min="1540" max="1541" width="11.6640625" customWidth="1"/>
    <col min="1545" max="1545" width="5.6640625" customWidth="1"/>
    <col min="1548" max="1549" width="0" hidden="1" customWidth="1"/>
    <col min="1796" max="1797" width="11.6640625" customWidth="1"/>
    <col min="1801" max="1801" width="5.6640625" customWidth="1"/>
    <col min="1804" max="1805" width="0" hidden="1" customWidth="1"/>
    <col min="2052" max="2053" width="11.6640625" customWidth="1"/>
    <col min="2057" max="2057" width="5.6640625" customWidth="1"/>
    <col min="2060" max="2061" width="0" hidden="1" customWidth="1"/>
    <col min="2308" max="2309" width="11.6640625" customWidth="1"/>
    <col min="2313" max="2313" width="5.6640625" customWidth="1"/>
    <col min="2316" max="2317" width="0" hidden="1" customWidth="1"/>
    <col min="2564" max="2565" width="11.6640625" customWidth="1"/>
    <col min="2569" max="2569" width="5.6640625" customWidth="1"/>
    <col min="2572" max="2573" width="0" hidden="1" customWidth="1"/>
    <col min="2820" max="2821" width="11.6640625" customWidth="1"/>
    <col min="2825" max="2825" width="5.6640625" customWidth="1"/>
    <col min="2828" max="2829" width="0" hidden="1" customWidth="1"/>
    <col min="3076" max="3077" width="11.6640625" customWidth="1"/>
    <col min="3081" max="3081" width="5.6640625" customWidth="1"/>
    <col min="3084" max="3085" width="0" hidden="1" customWidth="1"/>
    <col min="3332" max="3333" width="11.6640625" customWidth="1"/>
    <col min="3337" max="3337" width="5.6640625" customWidth="1"/>
    <col min="3340" max="3341" width="0" hidden="1" customWidth="1"/>
    <col min="3588" max="3589" width="11.6640625" customWidth="1"/>
    <col min="3593" max="3593" width="5.6640625" customWidth="1"/>
    <col min="3596" max="3597" width="0" hidden="1" customWidth="1"/>
    <col min="3844" max="3845" width="11.6640625" customWidth="1"/>
    <col min="3849" max="3849" width="5.6640625" customWidth="1"/>
    <col min="3852" max="3853" width="0" hidden="1" customWidth="1"/>
    <col min="4100" max="4101" width="11.6640625" customWidth="1"/>
    <col min="4105" max="4105" width="5.6640625" customWidth="1"/>
    <col min="4108" max="4109" width="0" hidden="1" customWidth="1"/>
    <col min="4356" max="4357" width="11.6640625" customWidth="1"/>
    <col min="4361" max="4361" width="5.6640625" customWidth="1"/>
    <col min="4364" max="4365" width="0" hidden="1" customWidth="1"/>
    <col min="4612" max="4613" width="11.6640625" customWidth="1"/>
    <col min="4617" max="4617" width="5.6640625" customWidth="1"/>
    <col min="4620" max="4621" width="0" hidden="1" customWidth="1"/>
    <col min="4868" max="4869" width="11.6640625" customWidth="1"/>
    <col min="4873" max="4873" width="5.6640625" customWidth="1"/>
    <col min="4876" max="4877" width="0" hidden="1" customWidth="1"/>
    <col min="5124" max="5125" width="11.6640625" customWidth="1"/>
    <col min="5129" max="5129" width="5.6640625" customWidth="1"/>
    <col min="5132" max="5133" width="0" hidden="1" customWidth="1"/>
    <col min="5380" max="5381" width="11.6640625" customWidth="1"/>
    <col min="5385" max="5385" width="5.6640625" customWidth="1"/>
    <col min="5388" max="5389" width="0" hidden="1" customWidth="1"/>
    <col min="5636" max="5637" width="11.6640625" customWidth="1"/>
    <col min="5641" max="5641" width="5.6640625" customWidth="1"/>
    <col min="5644" max="5645" width="0" hidden="1" customWidth="1"/>
    <col min="5892" max="5893" width="11.6640625" customWidth="1"/>
    <col min="5897" max="5897" width="5.6640625" customWidth="1"/>
    <col min="5900" max="5901" width="0" hidden="1" customWidth="1"/>
    <col min="6148" max="6149" width="11.6640625" customWidth="1"/>
    <col min="6153" max="6153" width="5.6640625" customWidth="1"/>
    <col min="6156" max="6157" width="0" hidden="1" customWidth="1"/>
    <col min="6404" max="6405" width="11.6640625" customWidth="1"/>
    <col min="6409" max="6409" width="5.6640625" customWidth="1"/>
    <col min="6412" max="6413" width="0" hidden="1" customWidth="1"/>
    <col min="6660" max="6661" width="11.6640625" customWidth="1"/>
    <col min="6665" max="6665" width="5.6640625" customWidth="1"/>
    <col min="6668" max="6669" width="0" hidden="1" customWidth="1"/>
    <col min="6916" max="6917" width="11.6640625" customWidth="1"/>
    <col min="6921" max="6921" width="5.6640625" customWidth="1"/>
    <col min="6924" max="6925" width="0" hidden="1" customWidth="1"/>
    <col min="7172" max="7173" width="11.6640625" customWidth="1"/>
    <col min="7177" max="7177" width="5.6640625" customWidth="1"/>
    <col min="7180" max="7181" width="0" hidden="1" customWidth="1"/>
    <col min="7428" max="7429" width="11.6640625" customWidth="1"/>
    <col min="7433" max="7433" width="5.6640625" customWidth="1"/>
    <col min="7436" max="7437" width="0" hidden="1" customWidth="1"/>
    <col min="7684" max="7685" width="11.6640625" customWidth="1"/>
    <col min="7689" max="7689" width="5.6640625" customWidth="1"/>
    <col min="7692" max="7693" width="0" hidden="1" customWidth="1"/>
    <col min="7940" max="7941" width="11.6640625" customWidth="1"/>
    <col min="7945" max="7945" width="5.6640625" customWidth="1"/>
    <col min="7948" max="7949" width="0" hidden="1" customWidth="1"/>
    <col min="8196" max="8197" width="11.6640625" customWidth="1"/>
    <col min="8201" max="8201" width="5.6640625" customWidth="1"/>
    <col min="8204" max="8205" width="0" hidden="1" customWidth="1"/>
    <col min="8452" max="8453" width="11.6640625" customWidth="1"/>
    <col min="8457" max="8457" width="5.6640625" customWidth="1"/>
    <col min="8460" max="8461" width="0" hidden="1" customWidth="1"/>
    <col min="8708" max="8709" width="11.6640625" customWidth="1"/>
    <col min="8713" max="8713" width="5.6640625" customWidth="1"/>
    <col min="8716" max="8717" width="0" hidden="1" customWidth="1"/>
    <col min="8964" max="8965" width="11.6640625" customWidth="1"/>
    <col min="8969" max="8969" width="5.6640625" customWidth="1"/>
    <col min="8972" max="8973" width="0" hidden="1" customWidth="1"/>
    <col min="9220" max="9221" width="11.6640625" customWidth="1"/>
    <col min="9225" max="9225" width="5.6640625" customWidth="1"/>
    <col min="9228" max="9229" width="0" hidden="1" customWidth="1"/>
    <col min="9476" max="9477" width="11.6640625" customWidth="1"/>
    <col min="9481" max="9481" width="5.6640625" customWidth="1"/>
    <col min="9484" max="9485" width="0" hidden="1" customWidth="1"/>
    <col min="9732" max="9733" width="11.6640625" customWidth="1"/>
    <col min="9737" max="9737" width="5.6640625" customWidth="1"/>
    <col min="9740" max="9741" width="0" hidden="1" customWidth="1"/>
    <col min="9988" max="9989" width="11.6640625" customWidth="1"/>
    <col min="9993" max="9993" width="5.6640625" customWidth="1"/>
    <col min="9996" max="9997" width="0" hidden="1" customWidth="1"/>
    <col min="10244" max="10245" width="11.6640625" customWidth="1"/>
    <col min="10249" max="10249" width="5.6640625" customWidth="1"/>
    <col min="10252" max="10253" width="0" hidden="1" customWidth="1"/>
    <col min="10500" max="10501" width="11.6640625" customWidth="1"/>
    <col min="10505" max="10505" width="5.6640625" customWidth="1"/>
    <col min="10508" max="10509" width="0" hidden="1" customWidth="1"/>
    <col min="10756" max="10757" width="11.6640625" customWidth="1"/>
    <col min="10761" max="10761" width="5.6640625" customWidth="1"/>
    <col min="10764" max="10765" width="0" hidden="1" customWidth="1"/>
    <col min="11012" max="11013" width="11.6640625" customWidth="1"/>
    <col min="11017" max="11017" width="5.6640625" customWidth="1"/>
    <col min="11020" max="11021" width="0" hidden="1" customWidth="1"/>
    <col min="11268" max="11269" width="11.6640625" customWidth="1"/>
    <col min="11273" max="11273" width="5.6640625" customWidth="1"/>
    <col min="11276" max="11277" width="0" hidden="1" customWidth="1"/>
    <col min="11524" max="11525" width="11.6640625" customWidth="1"/>
    <col min="11529" max="11529" width="5.6640625" customWidth="1"/>
    <col min="11532" max="11533" width="0" hidden="1" customWidth="1"/>
    <col min="11780" max="11781" width="11.6640625" customWidth="1"/>
    <col min="11785" max="11785" width="5.6640625" customWidth="1"/>
    <col min="11788" max="11789" width="0" hidden="1" customWidth="1"/>
    <col min="12036" max="12037" width="11.6640625" customWidth="1"/>
    <col min="12041" max="12041" width="5.6640625" customWidth="1"/>
    <col min="12044" max="12045" width="0" hidden="1" customWidth="1"/>
    <col min="12292" max="12293" width="11.6640625" customWidth="1"/>
    <col min="12297" max="12297" width="5.6640625" customWidth="1"/>
    <col min="12300" max="12301" width="0" hidden="1" customWidth="1"/>
    <col min="12548" max="12549" width="11.6640625" customWidth="1"/>
    <col min="12553" max="12553" width="5.6640625" customWidth="1"/>
    <col min="12556" max="12557" width="0" hidden="1" customWidth="1"/>
    <col min="12804" max="12805" width="11.6640625" customWidth="1"/>
    <col min="12809" max="12809" width="5.6640625" customWidth="1"/>
    <col min="12812" max="12813" width="0" hidden="1" customWidth="1"/>
    <col min="13060" max="13061" width="11.6640625" customWidth="1"/>
    <col min="13065" max="13065" width="5.6640625" customWidth="1"/>
    <col min="13068" max="13069" width="0" hidden="1" customWidth="1"/>
    <col min="13316" max="13317" width="11.6640625" customWidth="1"/>
    <col min="13321" max="13321" width="5.6640625" customWidth="1"/>
    <col min="13324" max="13325" width="0" hidden="1" customWidth="1"/>
    <col min="13572" max="13573" width="11.6640625" customWidth="1"/>
    <col min="13577" max="13577" width="5.6640625" customWidth="1"/>
    <col min="13580" max="13581" width="0" hidden="1" customWidth="1"/>
    <col min="13828" max="13829" width="11.6640625" customWidth="1"/>
    <col min="13833" max="13833" width="5.6640625" customWidth="1"/>
    <col min="13836" max="13837" width="0" hidden="1" customWidth="1"/>
    <col min="14084" max="14085" width="11.6640625" customWidth="1"/>
    <col min="14089" max="14089" width="5.6640625" customWidth="1"/>
    <col min="14092" max="14093" width="0" hidden="1" customWidth="1"/>
    <col min="14340" max="14341" width="11.6640625" customWidth="1"/>
    <col min="14345" max="14345" width="5.6640625" customWidth="1"/>
    <col min="14348" max="14349" width="0" hidden="1" customWidth="1"/>
    <col min="14596" max="14597" width="11.6640625" customWidth="1"/>
    <col min="14601" max="14601" width="5.6640625" customWidth="1"/>
    <col min="14604" max="14605" width="0" hidden="1" customWidth="1"/>
    <col min="14852" max="14853" width="11.6640625" customWidth="1"/>
    <col min="14857" max="14857" width="5.6640625" customWidth="1"/>
    <col min="14860" max="14861" width="0" hidden="1" customWidth="1"/>
    <col min="15108" max="15109" width="11.6640625" customWidth="1"/>
    <col min="15113" max="15113" width="5.6640625" customWidth="1"/>
    <col min="15116" max="15117" width="0" hidden="1" customWidth="1"/>
    <col min="15364" max="15365" width="11.6640625" customWidth="1"/>
    <col min="15369" max="15369" width="5.6640625" customWidth="1"/>
    <col min="15372" max="15373" width="0" hidden="1" customWidth="1"/>
    <col min="15620" max="15621" width="11.6640625" customWidth="1"/>
    <col min="15625" max="15625" width="5.6640625" customWidth="1"/>
    <col min="15628" max="15629" width="0" hidden="1" customWidth="1"/>
    <col min="15876" max="15877" width="11.6640625" customWidth="1"/>
    <col min="15881" max="15881" width="5.6640625" customWidth="1"/>
    <col min="15884" max="15885" width="0" hidden="1" customWidth="1"/>
    <col min="16132" max="16133" width="11.6640625" customWidth="1"/>
    <col min="16137" max="16137" width="5.6640625" customWidth="1"/>
    <col min="16140" max="16141" width="0" hidden="1" customWidth="1"/>
  </cols>
  <sheetData>
    <row r="1" spans="1:13" ht="17.399999999999999">
      <c r="D1" s="43" t="str">
        <f>[14]step1!D1</f>
        <v>Depreciation and book value</v>
      </c>
    </row>
    <row r="2" spans="1:13" ht="17.399999999999999">
      <c r="D2" s="43" t="str">
        <f>[14]step1!D2</f>
        <v>MACRS problems</v>
      </c>
    </row>
    <row r="5" spans="1:13">
      <c r="B5" s="44" t="str">
        <f>[14]step1!B5</f>
        <v>The Moore-Payne Medical Clinic will be purchasing a new computer network for the office.</v>
      </c>
      <c r="C5" s="45"/>
      <c r="D5" s="45"/>
      <c r="E5" s="45"/>
      <c r="F5" s="45"/>
      <c r="G5" s="45"/>
      <c r="H5" s="45"/>
      <c r="I5" s="46"/>
    </row>
    <row r="6" spans="1:13">
      <c r="B6" s="47" t="str">
        <f>[14]step1!B6</f>
        <v>The equipment will cost $40000 to purchase and $15000 to install and check out.</v>
      </c>
      <c r="C6" s="48"/>
      <c r="D6" s="48"/>
      <c r="E6" s="48"/>
      <c r="F6" s="48"/>
      <c r="G6" s="48"/>
      <c r="H6" s="49"/>
      <c r="I6" s="50"/>
    </row>
    <row r="7" spans="1:13">
      <c r="B7" s="47" t="str">
        <f>[14]step1!B7</f>
        <v>The equipment will last 8 years and is expected to have a salvage value of $3000</v>
      </c>
      <c r="C7" s="48"/>
      <c r="D7" s="48"/>
      <c r="E7" s="48"/>
      <c r="F7" s="48"/>
      <c r="G7" s="48"/>
      <c r="H7" s="48"/>
      <c r="I7" s="50"/>
    </row>
    <row r="8" spans="1:13">
      <c r="B8" s="47" t="str">
        <f>[14]step1!B8</f>
        <v>at that time.  The equipment is decreciated using MACRS with a 5 year recovery period.</v>
      </c>
      <c r="C8" s="48"/>
      <c r="D8" s="48"/>
      <c r="E8" s="48"/>
      <c r="F8" s="48"/>
      <c r="G8" s="48"/>
      <c r="H8" s="48"/>
      <c r="I8" s="50"/>
    </row>
    <row r="9" spans="1:13">
      <c r="B9" s="51" t="str">
        <f>[14]step1!B9</f>
        <v>Find the depreciation and book value each year for this equipment.</v>
      </c>
      <c r="C9" s="52"/>
      <c r="D9" s="52"/>
      <c r="E9" s="52"/>
      <c r="F9" s="53"/>
      <c r="G9" s="52"/>
      <c r="H9" s="52"/>
      <c r="I9" s="54"/>
    </row>
    <row r="10" spans="1:13">
      <c r="L10" s="72">
        <v>0.2</v>
      </c>
      <c r="M10" s="72">
        <v>0.1429</v>
      </c>
    </row>
    <row r="11" spans="1:13">
      <c r="L11" s="72">
        <v>0.32</v>
      </c>
      <c r="M11" s="72">
        <v>0.24490000000000001</v>
      </c>
    </row>
    <row r="12" spans="1:13" ht="15.6">
      <c r="A12" s="55" t="s">
        <v>97</v>
      </c>
      <c r="B12" s="56"/>
      <c r="C12" s="57"/>
      <c r="D12" s="57"/>
      <c r="E12" s="57"/>
      <c r="F12" s="57"/>
      <c r="G12" s="57"/>
      <c r="H12" s="57"/>
      <c r="I12" s="58"/>
      <c r="L12" s="72">
        <v>0.192</v>
      </c>
      <c r="M12" s="72">
        <v>0.1749</v>
      </c>
    </row>
    <row r="13" spans="1:13" ht="15.6">
      <c r="A13" s="59"/>
      <c r="B13" s="60" t="s">
        <v>194</v>
      </c>
      <c r="I13" s="61"/>
      <c r="L13" s="72">
        <v>0.1152</v>
      </c>
      <c r="M13" s="72">
        <v>0.1249</v>
      </c>
    </row>
    <row r="14" spans="1:13">
      <c r="A14" s="62"/>
      <c r="B14" s="63"/>
      <c r="C14" s="63"/>
      <c r="D14" s="63"/>
      <c r="E14" s="63"/>
      <c r="F14" s="63"/>
      <c r="G14" s="63"/>
      <c r="H14" s="63"/>
      <c r="I14" s="64"/>
      <c r="L14" s="72">
        <v>0.1152</v>
      </c>
      <c r="M14" s="72">
        <v>8.9300000000000004E-2</v>
      </c>
    </row>
    <row r="15" spans="1:13">
      <c r="L15" s="72">
        <v>5.7599999999999998E-2</v>
      </c>
      <c r="M15" s="72">
        <v>8.9200000000000002E-2</v>
      </c>
    </row>
    <row r="16" spans="1:13">
      <c r="L16" s="72"/>
      <c r="M16" s="72">
        <v>8.9300000000000004E-2</v>
      </c>
    </row>
    <row r="17" spans="2:13">
      <c r="L17" s="72"/>
      <c r="M17" s="72">
        <v>4.4600000000000001E-2</v>
      </c>
    </row>
    <row r="18" spans="2:13">
      <c r="L18" s="72"/>
      <c r="M18" s="72"/>
    </row>
    <row r="19" spans="2:13" ht="13.5" customHeight="1">
      <c r="B19" s="203" t="s">
        <v>99</v>
      </c>
      <c r="C19" s="204" t="s">
        <v>205</v>
      </c>
      <c r="D19" s="228" t="s">
        <v>103</v>
      </c>
      <c r="E19" s="58" t="s">
        <v>34</v>
      </c>
      <c r="L19" s="229"/>
      <c r="M19" s="229"/>
    </row>
    <row r="20" spans="2:13">
      <c r="B20" s="59">
        <v>0</v>
      </c>
      <c r="C20" s="84"/>
      <c r="D20" s="84"/>
      <c r="E20" s="118">
        <f>[14]step1!L5+[14]step1!L6</f>
        <v>55000</v>
      </c>
      <c r="K20" s="132"/>
      <c r="L20" s="84"/>
    </row>
    <row r="21" spans="2:13">
      <c r="B21" s="59">
        <v>1</v>
      </c>
      <c r="C21" s="72">
        <v>0.2</v>
      </c>
      <c r="D21" s="177">
        <f t="shared" ref="D21:D26" si="0">$E$20*C21</f>
        <v>11000</v>
      </c>
      <c r="E21" s="230">
        <f t="shared" ref="E21:E26" si="1">E20-D21</f>
        <v>44000</v>
      </c>
      <c r="F21" s="103" t="s">
        <v>242</v>
      </c>
    </row>
    <row r="22" spans="2:13">
      <c r="B22" s="59">
        <v>2</v>
      </c>
      <c r="C22" s="72">
        <v>0.32</v>
      </c>
      <c r="D22" s="177">
        <f t="shared" si="0"/>
        <v>17600</v>
      </c>
      <c r="E22" s="230">
        <f t="shared" si="1"/>
        <v>26400</v>
      </c>
    </row>
    <row r="23" spans="2:13">
      <c r="B23" s="59">
        <v>3</v>
      </c>
      <c r="C23" s="72">
        <v>0.192</v>
      </c>
      <c r="D23" s="177">
        <f t="shared" si="0"/>
        <v>10560</v>
      </c>
      <c r="E23" s="230">
        <f t="shared" si="1"/>
        <v>15840</v>
      </c>
    </row>
    <row r="24" spans="2:13">
      <c r="B24" s="59">
        <v>4</v>
      </c>
      <c r="C24" s="72">
        <v>0.1152</v>
      </c>
      <c r="D24" s="177">
        <f t="shared" si="0"/>
        <v>6336</v>
      </c>
      <c r="E24" s="230">
        <f t="shared" si="1"/>
        <v>9504</v>
      </c>
    </row>
    <row r="25" spans="2:13">
      <c r="B25" s="59">
        <v>5</v>
      </c>
      <c r="C25" s="72">
        <v>0.1152</v>
      </c>
      <c r="D25" s="177">
        <f t="shared" si="0"/>
        <v>6336</v>
      </c>
      <c r="E25" s="230">
        <f t="shared" si="1"/>
        <v>3168</v>
      </c>
    </row>
    <row r="26" spans="2:13">
      <c r="B26" s="59">
        <v>6</v>
      </c>
      <c r="C26" s="72">
        <v>5.7599999999999998E-2</v>
      </c>
      <c r="D26" s="177">
        <f t="shared" si="0"/>
        <v>3168</v>
      </c>
      <c r="E26" s="230">
        <f t="shared" si="1"/>
        <v>0</v>
      </c>
    </row>
    <row r="27" spans="2:13">
      <c r="B27" s="59">
        <v>7</v>
      </c>
      <c r="C27" s="72"/>
      <c r="D27" s="177" t="str">
        <f>IF(C27&gt;0,$E$20*C27,"")</f>
        <v/>
      </c>
      <c r="E27" s="230" t="str">
        <f>IF(C27&gt;0,E26-D27,"")</f>
        <v/>
      </c>
    </row>
    <row r="28" spans="2:13">
      <c r="B28" s="59">
        <v>8</v>
      </c>
      <c r="C28" s="72"/>
      <c r="D28" s="177" t="str">
        <f>IF(C28&gt;0,$E$20*C28,"")</f>
        <v/>
      </c>
      <c r="E28" s="230" t="str">
        <f>IF(C28&gt;0,E27-D28,"")</f>
        <v/>
      </c>
    </row>
    <row r="29" spans="2:13">
      <c r="B29" s="59">
        <v>9</v>
      </c>
      <c r="C29" s="72"/>
      <c r="D29" s="177" t="str">
        <f>IF(C29&gt;0,$E$20*C29,"")</f>
        <v/>
      </c>
      <c r="E29" s="230" t="str">
        <f>IF(C29&gt;0,E28-D29,"")</f>
        <v/>
      </c>
      <c r="G29" s="74"/>
    </row>
    <row r="30" spans="2:13">
      <c r="B30" s="62">
        <v>10</v>
      </c>
      <c r="C30" s="229"/>
      <c r="D30" s="231" t="str">
        <f>IF(C30&gt;0,$E$20*C30,"")</f>
        <v/>
      </c>
      <c r="E30" s="232" t="str">
        <f>IF(C30&gt;0,E29-D30,"")</f>
        <v/>
      </c>
    </row>
    <row r="31" spans="2:13">
      <c r="C31" s="74"/>
      <c r="G31" s="65"/>
    </row>
    <row r="32" spans="2:13">
      <c r="C32" s="74"/>
    </row>
    <row r="33" spans="2:8" ht="15.6">
      <c r="B33" s="233" t="s">
        <v>243</v>
      </c>
      <c r="C33" s="74"/>
      <c r="G33" s="76"/>
      <c r="H33" s="77"/>
    </row>
    <row r="34" spans="2:8">
      <c r="C34" s="74"/>
    </row>
    <row r="35" spans="2:8">
      <c r="C35" s="74"/>
    </row>
    <row r="36" spans="2:8">
      <c r="C36" s="74"/>
    </row>
    <row r="37" spans="2:8">
      <c r="C37" s="74"/>
    </row>
    <row r="38" spans="2:8">
      <c r="C38" s="74"/>
    </row>
    <row r="39" spans="2:8">
      <c r="C39" s="74"/>
    </row>
    <row r="40" spans="2:8">
      <c r="C40" s="74"/>
    </row>
    <row r="41" spans="2:8">
      <c r="C41" s="74"/>
    </row>
    <row r="42" spans="2:8">
      <c r="C42" s="74"/>
    </row>
    <row r="43" spans="2:8">
      <c r="D43" s="76"/>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7F24C-E1C1-4564-98CC-23E0622FB74E}">
  <dimension ref="A1:I45"/>
  <sheetViews>
    <sheetView workbookViewId="0">
      <selection sqref="A1:XFD1048576"/>
    </sheetView>
  </sheetViews>
  <sheetFormatPr defaultRowHeight="14.4"/>
  <cols>
    <col min="2" max="2" width="9.6640625" customWidth="1"/>
    <col min="4" max="4" width="9.6640625" customWidth="1"/>
    <col min="7" max="7" width="10.6640625" customWidth="1"/>
    <col min="9" max="9" width="10" customWidth="1"/>
    <col min="258" max="258" width="9.6640625" customWidth="1"/>
    <col min="260" max="260" width="9.6640625" customWidth="1"/>
    <col min="263" max="263" width="10.6640625" customWidth="1"/>
    <col min="265" max="265" width="10" customWidth="1"/>
    <col min="514" max="514" width="9.6640625" customWidth="1"/>
    <col min="516" max="516" width="9.6640625" customWidth="1"/>
    <col min="519" max="519" width="10.6640625" customWidth="1"/>
    <col min="521" max="521" width="10" customWidth="1"/>
    <col min="770" max="770" width="9.6640625" customWidth="1"/>
    <col min="772" max="772" width="9.6640625" customWidth="1"/>
    <col min="775" max="775" width="10.6640625" customWidth="1"/>
    <col min="777" max="777" width="10" customWidth="1"/>
    <col min="1026" max="1026" width="9.6640625" customWidth="1"/>
    <col min="1028" max="1028" width="9.6640625" customWidth="1"/>
    <col min="1031" max="1031" width="10.6640625" customWidth="1"/>
    <col min="1033" max="1033" width="10" customWidth="1"/>
    <col min="1282" max="1282" width="9.6640625" customWidth="1"/>
    <col min="1284" max="1284" width="9.6640625" customWidth="1"/>
    <col min="1287" max="1287" width="10.6640625" customWidth="1"/>
    <col min="1289" max="1289" width="10" customWidth="1"/>
    <col min="1538" max="1538" width="9.6640625" customWidth="1"/>
    <col min="1540" max="1540" width="9.6640625" customWidth="1"/>
    <col min="1543" max="1543" width="10.6640625" customWidth="1"/>
    <col min="1545" max="1545" width="10" customWidth="1"/>
    <col min="1794" max="1794" width="9.6640625" customWidth="1"/>
    <col min="1796" max="1796" width="9.6640625" customWidth="1"/>
    <col min="1799" max="1799" width="10.6640625" customWidth="1"/>
    <col min="1801" max="1801" width="10" customWidth="1"/>
    <col min="2050" max="2050" width="9.6640625" customWidth="1"/>
    <col min="2052" max="2052" width="9.6640625" customWidth="1"/>
    <col min="2055" max="2055" width="10.6640625" customWidth="1"/>
    <col min="2057" max="2057" width="10" customWidth="1"/>
    <col min="2306" max="2306" width="9.6640625" customWidth="1"/>
    <col min="2308" max="2308" width="9.6640625" customWidth="1"/>
    <col min="2311" max="2311" width="10.6640625" customWidth="1"/>
    <col min="2313" max="2313" width="10" customWidth="1"/>
    <col min="2562" max="2562" width="9.6640625" customWidth="1"/>
    <col min="2564" max="2564" width="9.6640625" customWidth="1"/>
    <col min="2567" max="2567" width="10.6640625" customWidth="1"/>
    <col min="2569" max="2569" width="10" customWidth="1"/>
    <col min="2818" max="2818" width="9.6640625" customWidth="1"/>
    <col min="2820" max="2820" width="9.6640625" customWidth="1"/>
    <col min="2823" max="2823" width="10.6640625" customWidth="1"/>
    <col min="2825" max="2825" width="10" customWidth="1"/>
    <col min="3074" max="3074" width="9.6640625" customWidth="1"/>
    <col min="3076" max="3076" width="9.6640625" customWidth="1"/>
    <col min="3079" max="3079" width="10.6640625" customWidth="1"/>
    <col min="3081" max="3081" width="10" customWidth="1"/>
    <col min="3330" max="3330" width="9.6640625" customWidth="1"/>
    <col min="3332" max="3332" width="9.6640625" customWidth="1"/>
    <col min="3335" max="3335" width="10.6640625" customWidth="1"/>
    <col min="3337" max="3337" width="10" customWidth="1"/>
    <col min="3586" max="3586" width="9.6640625" customWidth="1"/>
    <col min="3588" max="3588" width="9.6640625" customWidth="1"/>
    <col min="3591" max="3591" width="10.6640625" customWidth="1"/>
    <col min="3593" max="3593" width="10" customWidth="1"/>
    <col min="3842" max="3842" width="9.6640625" customWidth="1"/>
    <col min="3844" max="3844" width="9.6640625" customWidth="1"/>
    <col min="3847" max="3847" width="10.6640625" customWidth="1"/>
    <col min="3849" max="3849" width="10" customWidth="1"/>
    <col min="4098" max="4098" width="9.6640625" customWidth="1"/>
    <col min="4100" max="4100" width="9.6640625" customWidth="1"/>
    <col min="4103" max="4103" width="10.6640625" customWidth="1"/>
    <col min="4105" max="4105" width="10" customWidth="1"/>
    <col min="4354" max="4354" width="9.6640625" customWidth="1"/>
    <col min="4356" max="4356" width="9.6640625" customWidth="1"/>
    <col min="4359" max="4359" width="10.6640625" customWidth="1"/>
    <col min="4361" max="4361" width="10" customWidth="1"/>
    <col min="4610" max="4610" width="9.6640625" customWidth="1"/>
    <col min="4612" max="4612" width="9.6640625" customWidth="1"/>
    <col min="4615" max="4615" width="10.6640625" customWidth="1"/>
    <col min="4617" max="4617" width="10" customWidth="1"/>
    <col min="4866" max="4866" width="9.6640625" customWidth="1"/>
    <col min="4868" max="4868" width="9.6640625" customWidth="1"/>
    <col min="4871" max="4871" width="10.6640625" customWidth="1"/>
    <col min="4873" max="4873" width="10" customWidth="1"/>
    <col min="5122" max="5122" width="9.6640625" customWidth="1"/>
    <col min="5124" max="5124" width="9.6640625" customWidth="1"/>
    <col min="5127" max="5127" width="10.6640625" customWidth="1"/>
    <col min="5129" max="5129" width="10" customWidth="1"/>
    <col min="5378" max="5378" width="9.6640625" customWidth="1"/>
    <col min="5380" max="5380" width="9.6640625" customWidth="1"/>
    <col min="5383" max="5383" width="10.6640625" customWidth="1"/>
    <col min="5385" max="5385" width="10" customWidth="1"/>
    <col min="5634" max="5634" width="9.6640625" customWidth="1"/>
    <col min="5636" max="5636" width="9.6640625" customWidth="1"/>
    <col min="5639" max="5639" width="10.6640625" customWidth="1"/>
    <col min="5641" max="5641" width="10" customWidth="1"/>
    <col min="5890" max="5890" width="9.6640625" customWidth="1"/>
    <col min="5892" max="5892" width="9.6640625" customWidth="1"/>
    <col min="5895" max="5895" width="10.6640625" customWidth="1"/>
    <col min="5897" max="5897" width="10" customWidth="1"/>
    <col min="6146" max="6146" width="9.6640625" customWidth="1"/>
    <col min="6148" max="6148" width="9.6640625" customWidth="1"/>
    <col min="6151" max="6151" width="10.6640625" customWidth="1"/>
    <col min="6153" max="6153" width="10" customWidth="1"/>
    <col min="6402" max="6402" width="9.6640625" customWidth="1"/>
    <col min="6404" max="6404" width="9.6640625" customWidth="1"/>
    <col min="6407" max="6407" width="10.6640625" customWidth="1"/>
    <col min="6409" max="6409" width="10" customWidth="1"/>
    <col min="6658" max="6658" width="9.6640625" customWidth="1"/>
    <col min="6660" max="6660" width="9.6640625" customWidth="1"/>
    <col min="6663" max="6663" width="10.6640625" customWidth="1"/>
    <col min="6665" max="6665" width="10" customWidth="1"/>
    <col min="6914" max="6914" width="9.6640625" customWidth="1"/>
    <col min="6916" max="6916" width="9.6640625" customWidth="1"/>
    <col min="6919" max="6919" width="10.6640625" customWidth="1"/>
    <col min="6921" max="6921" width="10" customWidth="1"/>
    <col min="7170" max="7170" width="9.6640625" customWidth="1"/>
    <col min="7172" max="7172" width="9.6640625" customWidth="1"/>
    <col min="7175" max="7175" width="10.6640625" customWidth="1"/>
    <col min="7177" max="7177" width="10" customWidth="1"/>
    <col min="7426" max="7426" width="9.6640625" customWidth="1"/>
    <col min="7428" max="7428" width="9.6640625" customWidth="1"/>
    <col min="7431" max="7431" width="10.6640625" customWidth="1"/>
    <col min="7433" max="7433" width="10" customWidth="1"/>
    <col min="7682" max="7682" width="9.6640625" customWidth="1"/>
    <col min="7684" max="7684" width="9.6640625" customWidth="1"/>
    <col min="7687" max="7687" width="10.6640625" customWidth="1"/>
    <col min="7689" max="7689" width="10" customWidth="1"/>
    <col min="7938" max="7938" width="9.6640625" customWidth="1"/>
    <col min="7940" max="7940" width="9.6640625" customWidth="1"/>
    <col min="7943" max="7943" width="10.6640625" customWidth="1"/>
    <col min="7945" max="7945" width="10" customWidth="1"/>
    <col min="8194" max="8194" width="9.6640625" customWidth="1"/>
    <col min="8196" max="8196" width="9.6640625" customWidth="1"/>
    <col min="8199" max="8199" width="10.6640625" customWidth="1"/>
    <col min="8201" max="8201" width="10" customWidth="1"/>
    <col min="8450" max="8450" width="9.6640625" customWidth="1"/>
    <col min="8452" max="8452" width="9.6640625" customWidth="1"/>
    <col min="8455" max="8455" width="10.6640625" customWidth="1"/>
    <col min="8457" max="8457" width="10" customWidth="1"/>
    <col min="8706" max="8706" width="9.6640625" customWidth="1"/>
    <col min="8708" max="8708" width="9.6640625" customWidth="1"/>
    <col min="8711" max="8711" width="10.6640625" customWidth="1"/>
    <col min="8713" max="8713" width="10" customWidth="1"/>
    <col min="8962" max="8962" width="9.6640625" customWidth="1"/>
    <col min="8964" max="8964" width="9.6640625" customWidth="1"/>
    <col min="8967" max="8967" width="10.6640625" customWidth="1"/>
    <col min="8969" max="8969" width="10" customWidth="1"/>
    <col min="9218" max="9218" width="9.6640625" customWidth="1"/>
    <col min="9220" max="9220" width="9.6640625" customWidth="1"/>
    <col min="9223" max="9223" width="10.6640625" customWidth="1"/>
    <col min="9225" max="9225" width="10" customWidth="1"/>
    <col min="9474" max="9474" width="9.6640625" customWidth="1"/>
    <col min="9476" max="9476" width="9.6640625" customWidth="1"/>
    <col min="9479" max="9479" width="10.6640625" customWidth="1"/>
    <col min="9481" max="9481" width="10" customWidth="1"/>
    <col min="9730" max="9730" width="9.6640625" customWidth="1"/>
    <col min="9732" max="9732" width="9.6640625" customWidth="1"/>
    <col min="9735" max="9735" width="10.6640625" customWidth="1"/>
    <col min="9737" max="9737" width="10" customWidth="1"/>
    <col min="9986" max="9986" width="9.6640625" customWidth="1"/>
    <col min="9988" max="9988" width="9.6640625" customWidth="1"/>
    <col min="9991" max="9991" width="10.6640625" customWidth="1"/>
    <col min="9993" max="9993" width="10" customWidth="1"/>
    <col min="10242" max="10242" width="9.6640625" customWidth="1"/>
    <col min="10244" max="10244" width="9.6640625" customWidth="1"/>
    <col min="10247" max="10247" width="10.6640625" customWidth="1"/>
    <col min="10249" max="10249" width="10" customWidth="1"/>
    <col min="10498" max="10498" width="9.6640625" customWidth="1"/>
    <col min="10500" max="10500" width="9.6640625" customWidth="1"/>
    <col min="10503" max="10503" width="10.6640625" customWidth="1"/>
    <col min="10505" max="10505" width="10" customWidth="1"/>
    <col min="10754" max="10754" width="9.6640625" customWidth="1"/>
    <col min="10756" max="10756" width="9.6640625" customWidth="1"/>
    <col min="10759" max="10759" width="10.6640625" customWidth="1"/>
    <col min="10761" max="10761" width="10" customWidth="1"/>
    <col min="11010" max="11010" width="9.6640625" customWidth="1"/>
    <col min="11012" max="11012" width="9.6640625" customWidth="1"/>
    <col min="11015" max="11015" width="10.6640625" customWidth="1"/>
    <col min="11017" max="11017" width="10" customWidth="1"/>
    <col min="11266" max="11266" width="9.6640625" customWidth="1"/>
    <col min="11268" max="11268" width="9.6640625" customWidth="1"/>
    <col min="11271" max="11271" width="10.6640625" customWidth="1"/>
    <col min="11273" max="11273" width="10" customWidth="1"/>
    <col min="11522" max="11522" width="9.6640625" customWidth="1"/>
    <col min="11524" max="11524" width="9.6640625" customWidth="1"/>
    <col min="11527" max="11527" width="10.6640625" customWidth="1"/>
    <col min="11529" max="11529" width="10" customWidth="1"/>
    <col min="11778" max="11778" width="9.6640625" customWidth="1"/>
    <col min="11780" max="11780" width="9.6640625" customWidth="1"/>
    <col min="11783" max="11783" width="10.6640625" customWidth="1"/>
    <col min="11785" max="11785" width="10" customWidth="1"/>
    <col min="12034" max="12034" width="9.6640625" customWidth="1"/>
    <col min="12036" max="12036" width="9.6640625" customWidth="1"/>
    <col min="12039" max="12039" width="10.6640625" customWidth="1"/>
    <col min="12041" max="12041" width="10" customWidth="1"/>
    <col min="12290" max="12290" width="9.6640625" customWidth="1"/>
    <col min="12292" max="12292" width="9.6640625" customWidth="1"/>
    <col min="12295" max="12295" width="10.6640625" customWidth="1"/>
    <col min="12297" max="12297" width="10" customWidth="1"/>
    <col min="12546" max="12546" width="9.6640625" customWidth="1"/>
    <col min="12548" max="12548" width="9.6640625" customWidth="1"/>
    <col min="12551" max="12551" width="10.6640625" customWidth="1"/>
    <col min="12553" max="12553" width="10" customWidth="1"/>
    <col min="12802" max="12802" width="9.6640625" customWidth="1"/>
    <col min="12804" max="12804" width="9.6640625" customWidth="1"/>
    <col min="12807" max="12807" width="10.6640625" customWidth="1"/>
    <col min="12809" max="12809" width="10" customWidth="1"/>
    <col min="13058" max="13058" width="9.6640625" customWidth="1"/>
    <col min="13060" max="13060" width="9.6640625" customWidth="1"/>
    <col min="13063" max="13063" width="10.6640625" customWidth="1"/>
    <col min="13065" max="13065" width="10" customWidth="1"/>
    <col min="13314" max="13314" width="9.6640625" customWidth="1"/>
    <col min="13316" max="13316" width="9.6640625" customWidth="1"/>
    <col min="13319" max="13319" width="10.6640625" customWidth="1"/>
    <col min="13321" max="13321" width="10" customWidth="1"/>
    <col min="13570" max="13570" width="9.6640625" customWidth="1"/>
    <col min="13572" max="13572" width="9.6640625" customWidth="1"/>
    <col min="13575" max="13575" width="10.6640625" customWidth="1"/>
    <col min="13577" max="13577" width="10" customWidth="1"/>
    <col min="13826" max="13826" width="9.6640625" customWidth="1"/>
    <col min="13828" max="13828" width="9.6640625" customWidth="1"/>
    <col min="13831" max="13831" width="10.6640625" customWidth="1"/>
    <col min="13833" max="13833" width="10" customWidth="1"/>
    <col min="14082" max="14082" width="9.6640625" customWidth="1"/>
    <col min="14084" max="14084" width="9.6640625" customWidth="1"/>
    <col min="14087" max="14087" width="10.6640625" customWidth="1"/>
    <col min="14089" max="14089" width="10" customWidth="1"/>
    <col min="14338" max="14338" width="9.6640625" customWidth="1"/>
    <col min="14340" max="14340" width="9.6640625" customWidth="1"/>
    <col min="14343" max="14343" width="10.6640625" customWidth="1"/>
    <col min="14345" max="14345" width="10" customWidth="1"/>
    <col min="14594" max="14594" width="9.6640625" customWidth="1"/>
    <col min="14596" max="14596" width="9.6640625" customWidth="1"/>
    <col min="14599" max="14599" width="10.6640625" customWidth="1"/>
    <col min="14601" max="14601" width="10" customWidth="1"/>
    <col min="14850" max="14850" width="9.6640625" customWidth="1"/>
    <col min="14852" max="14852" width="9.6640625" customWidth="1"/>
    <col min="14855" max="14855" width="10.6640625" customWidth="1"/>
    <col min="14857" max="14857" width="10" customWidth="1"/>
    <col min="15106" max="15106" width="9.6640625" customWidth="1"/>
    <col min="15108" max="15108" width="9.6640625" customWidth="1"/>
    <col min="15111" max="15111" width="10.6640625" customWidth="1"/>
    <col min="15113" max="15113" width="10" customWidth="1"/>
    <col min="15362" max="15362" width="9.6640625" customWidth="1"/>
    <col min="15364" max="15364" width="9.6640625" customWidth="1"/>
    <col min="15367" max="15367" width="10.6640625" customWidth="1"/>
    <col min="15369" max="15369" width="10" customWidth="1"/>
    <col min="15618" max="15618" width="9.6640625" customWidth="1"/>
    <col min="15620" max="15620" width="9.6640625" customWidth="1"/>
    <col min="15623" max="15623" width="10.6640625" customWidth="1"/>
    <col min="15625" max="15625" width="10" customWidth="1"/>
    <col min="15874" max="15874" width="9.6640625" customWidth="1"/>
    <col min="15876" max="15876" width="9.6640625" customWidth="1"/>
    <col min="15879" max="15879" width="10.6640625" customWidth="1"/>
    <col min="15881" max="15881" width="10" customWidth="1"/>
    <col min="16130" max="16130" width="9.6640625" customWidth="1"/>
    <col min="16132" max="16132" width="9.6640625" customWidth="1"/>
    <col min="16135" max="16135" width="10.6640625" customWidth="1"/>
    <col min="16137" max="16137" width="10" customWidth="1"/>
  </cols>
  <sheetData>
    <row r="1" spans="1:9" ht="17.399999999999999">
      <c r="D1" s="43" t="str">
        <f>[15]step1!D1</f>
        <v>Use of multiple factors</v>
      </c>
    </row>
    <row r="2" spans="1:9" ht="17.399999999999999">
      <c r="D2" s="43" t="str">
        <f>[15]step1!D2</f>
        <v>College savings plan problems</v>
      </c>
    </row>
    <row r="4" spans="1:9">
      <c r="B4" s="44" t="str">
        <f>[15]step1!B4</f>
        <v>Having been saddled with student loans to pay off, you want to begin a savings plan to</v>
      </c>
      <c r="C4" s="45"/>
      <c r="D4" s="45"/>
      <c r="E4" s="45"/>
      <c r="F4" s="45"/>
      <c r="G4" s="45"/>
      <c r="H4" s="45"/>
      <c r="I4" s="46"/>
    </row>
    <row r="5" spans="1:9">
      <c r="B5" s="47" t="str">
        <f>[15]step1!B5</f>
        <v>assist in paying for your child's college education.  You plan to invest $800</v>
      </c>
      <c r="C5" s="48"/>
      <c r="D5" s="48"/>
      <c r="E5" s="48"/>
      <c r="F5" s="48"/>
      <c r="G5" s="48"/>
      <c r="H5" s="49"/>
      <c r="I5" s="50"/>
    </row>
    <row r="6" spans="1:9">
      <c r="B6" s="47" t="str">
        <f>[15]step1!B6</f>
        <v>per year starting 3 years from now, with the last payment being made 17</v>
      </c>
      <c r="C6" s="48"/>
      <c r="D6" s="48"/>
      <c r="E6" s="48"/>
      <c r="F6" s="48"/>
      <c r="G6" s="48"/>
      <c r="H6" s="48"/>
      <c r="I6" s="50"/>
    </row>
    <row r="7" spans="1:9">
      <c r="B7" s="47" t="str">
        <f>[15]step1!B7</f>
        <v>years from now.  What amount of money can you withdrawl starting 18 years from now</v>
      </c>
      <c r="C7" s="48"/>
      <c r="D7" s="48"/>
      <c r="E7" s="48"/>
      <c r="F7" s="48"/>
      <c r="G7" s="48"/>
      <c r="H7" s="48"/>
      <c r="I7" s="50"/>
    </row>
    <row r="8" spans="1:9">
      <c r="B8" s="47" t="str">
        <f>[15]step1!B8</f>
        <v>and continuing for the 5 years of your child's education?</v>
      </c>
      <c r="C8" s="48"/>
      <c r="D8" s="48"/>
      <c r="E8" s="48"/>
      <c r="F8" s="48"/>
      <c r="G8" s="48"/>
      <c r="H8" s="48"/>
      <c r="I8" s="50"/>
    </row>
    <row r="9" spans="1:9">
      <c r="B9" s="51" t="str">
        <f>[15]step1!B9</f>
        <v>Assume the money is invested in a CD which draws 6% annual interest guaranteed.</v>
      </c>
      <c r="C9" s="52"/>
      <c r="D9" s="52"/>
      <c r="E9" s="52"/>
      <c r="F9" s="53"/>
      <c r="G9" s="52"/>
      <c r="H9" s="52"/>
      <c r="I9" s="54"/>
    </row>
    <row r="11" spans="1:9" ht="15.6">
      <c r="A11" s="55" t="s">
        <v>97</v>
      </c>
      <c r="B11" s="56"/>
      <c r="C11" s="57"/>
      <c r="D11" s="57"/>
      <c r="E11" s="57"/>
      <c r="F11" s="57"/>
      <c r="G11" s="57"/>
      <c r="H11" s="57"/>
      <c r="I11" s="58"/>
    </row>
    <row r="12" spans="1:9" ht="15.6">
      <c r="A12" s="59"/>
      <c r="B12" s="60" t="s">
        <v>98</v>
      </c>
      <c r="I12" s="61"/>
    </row>
    <row r="13" spans="1:9">
      <c r="A13" s="62"/>
      <c r="B13" s="63"/>
      <c r="C13" s="63"/>
      <c r="D13" s="63"/>
      <c r="E13" s="63"/>
      <c r="F13" s="63"/>
      <c r="G13" s="63"/>
      <c r="H13" s="63"/>
      <c r="I13" s="64"/>
    </row>
    <row r="16" spans="1:9">
      <c r="F16" s="66" t="s">
        <v>244</v>
      </c>
      <c r="G16" s="221">
        <f>[15]step1!L8</f>
        <v>0.06</v>
      </c>
    </row>
    <row r="17" spans="2:9">
      <c r="B17" s="66" t="s">
        <v>99</v>
      </c>
      <c r="C17" s="144" t="s">
        <v>245</v>
      </c>
      <c r="D17" s="174" t="s">
        <v>246</v>
      </c>
    </row>
    <row r="18" spans="2:9">
      <c r="B18" s="59">
        <v>0</v>
      </c>
      <c r="C18" s="74">
        <f>[15]step2!C18</f>
        <v>0</v>
      </c>
      <c r="D18" s="61"/>
      <c r="F18" s="66" t="s">
        <v>247</v>
      </c>
      <c r="G18" s="234">
        <f>NPV(G16,C19:C42)</f>
        <v>6915.0936188971045</v>
      </c>
    </row>
    <row r="19" spans="2:9">
      <c r="B19" s="59">
        <v>1</v>
      </c>
      <c r="C19" s="74">
        <f>[15]step2!C19</f>
        <v>0</v>
      </c>
      <c r="D19" s="61"/>
    </row>
    <row r="20" spans="2:9">
      <c r="B20" s="59">
        <v>2</v>
      </c>
      <c r="C20" s="74">
        <f>[15]step2!C20</f>
        <v>0</v>
      </c>
      <c r="D20" s="61"/>
    </row>
    <row r="21" spans="2:9">
      <c r="B21" s="59">
        <v>3</v>
      </c>
      <c r="C21" s="74">
        <f>[15]step2!C21</f>
        <v>800</v>
      </c>
      <c r="D21" s="61"/>
      <c r="F21" s="78" t="s">
        <v>248</v>
      </c>
      <c r="G21" s="169">
        <f>G18</f>
        <v>6915.0936188971045</v>
      </c>
    </row>
    <row r="22" spans="2:9">
      <c r="B22" s="59">
        <v>4</v>
      </c>
      <c r="C22" s="74">
        <f>[15]step2!C22</f>
        <v>800</v>
      </c>
      <c r="D22" s="61"/>
      <c r="F22" s="59" t="s">
        <v>249</v>
      </c>
      <c r="G22" s="61">
        <v>17</v>
      </c>
    </row>
    <row r="23" spans="2:9">
      <c r="B23" s="59">
        <v>5</v>
      </c>
      <c r="C23" s="74">
        <f>[15]step2!C23</f>
        <v>800</v>
      </c>
      <c r="D23" s="61"/>
      <c r="F23" s="59" t="s">
        <v>244</v>
      </c>
      <c r="G23" s="176">
        <f>G16</f>
        <v>0.06</v>
      </c>
    </row>
    <row r="24" spans="2:9">
      <c r="B24" s="59">
        <v>6</v>
      </c>
      <c r="C24" s="74">
        <f>[15]step2!C24</f>
        <v>800</v>
      </c>
      <c r="D24" s="61"/>
      <c r="F24" s="59"/>
      <c r="G24" s="61"/>
    </row>
    <row r="25" spans="2:9">
      <c r="B25" s="59">
        <v>7</v>
      </c>
      <c r="C25" s="74">
        <f>[15]step2!C25</f>
        <v>800</v>
      </c>
      <c r="D25" s="61"/>
      <c r="F25" s="59" t="s">
        <v>250</v>
      </c>
      <c r="G25" s="170">
        <f>FV(G23,G22,,-G21)</f>
        <v>18620.775907995874</v>
      </c>
      <c r="I25" s="76"/>
    </row>
    <row r="26" spans="2:9">
      <c r="B26" s="59">
        <v>8</v>
      </c>
      <c r="C26" s="74">
        <f>[15]step2!C26</f>
        <v>800</v>
      </c>
      <c r="D26" s="61"/>
      <c r="F26" s="62" t="s">
        <v>251</v>
      </c>
      <c r="G26" s="64"/>
    </row>
    <row r="27" spans="2:9">
      <c r="B27" s="59">
        <v>9</v>
      </c>
      <c r="C27" s="74">
        <f>[15]step2!C27</f>
        <v>800</v>
      </c>
      <c r="D27" s="61"/>
    </row>
    <row r="28" spans="2:9">
      <c r="B28" s="59">
        <v>10</v>
      </c>
      <c r="C28" s="74">
        <f>[15]step2!C28</f>
        <v>800</v>
      </c>
      <c r="D28" s="61"/>
    </row>
    <row r="29" spans="2:9">
      <c r="B29" s="59">
        <v>11</v>
      </c>
      <c r="C29" s="74">
        <f>[15]step2!C29</f>
        <v>800</v>
      </c>
      <c r="D29" s="61"/>
      <c r="F29" s="78" t="s">
        <v>248</v>
      </c>
      <c r="G29" s="235">
        <f>G25</f>
        <v>18620.775907995874</v>
      </c>
    </row>
    <row r="30" spans="2:9">
      <c r="B30" s="59">
        <v>12</v>
      </c>
      <c r="C30" s="74">
        <f>[15]step2!C30</f>
        <v>800</v>
      </c>
      <c r="D30" s="61"/>
      <c r="F30" s="59" t="s">
        <v>249</v>
      </c>
      <c r="G30" s="61">
        <f>[15]step1!L6</f>
        <v>5</v>
      </c>
    </row>
    <row r="31" spans="2:9">
      <c r="B31" s="59">
        <v>13</v>
      </c>
      <c r="C31" s="74">
        <f>[15]step2!C31</f>
        <v>800</v>
      </c>
      <c r="D31" s="61"/>
      <c r="F31" s="59" t="s">
        <v>244</v>
      </c>
      <c r="G31" s="176">
        <f>G16</f>
        <v>0.06</v>
      </c>
    </row>
    <row r="32" spans="2:9">
      <c r="B32" s="59">
        <v>14</v>
      </c>
      <c r="C32" s="74">
        <f>[15]step2!C32</f>
        <v>800</v>
      </c>
      <c r="D32" s="61"/>
      <c r="F32" s="59"/>
      <c r="G32" s="61"/>
    </row>
    <row r="33" spans="2:8">
      <c r="B33" s="59">
        <v>15</v>
      </c>
      <c r="C33" s="74">
        <f>[15]step2!C33</f>
        <v>800</v>
      </c>
      <c r="D33" s="61"/>
      <c r="F33" s="59" t="s">
        <v>252</v>
      </c>
      <c r="G33" s="236">
        <f>PMT(G31,G30,-G29)</f>
        <v>4420.5051737940375</v>
      </c>
      <c r="H33" s="77" t="s">
        <v>253</v>
      </c>
    </row>
    <row r="34" spans="2:8">
      <c r="B34" s="59">
        <v>16</v>
      </c>
      <c r="C34" s="74">
        <f>[15]step2!C34</f>
        <v>800</v>
      </c>
      <c r="D34" s="61"/>
      <c r="F34" s="62" t="s">
        <v>254</v>
      </c>
      <c r="G34" s="64"/>
    </row>
    <row r="35" spans="2:8">
      <c r="B35" s="59">
        <v>17</v>
      </c>
      <c r="C35" s="74">
        <f>[15]step2!C35</f>
        <v>800</v>
      </c>
      <c r="D35" s="61"/>
    </row>
    <row r="36" spans="2:8">
      <c r="B36" s="59">
        <v>18</v>
      </c>
      <c r="C36" s="74">
        <f>[15]step2!C36</f>
        <v>0</v>
      </c>
      <c r="D36" s="61" t="s">
        <v>130</v>
      </c>
    </row>
    <row r="37" spans="2:8">
      <c r="B37" s="59">
        <v>19</v>
      </c>
      <c r="C37" s="74">
        <f>[15]step2!C37</f>
        <v>0</v>
      </c>
      <c r="D37" s="61" t="s">
        <v>130</v>
      </c>
    </row>
    <row r="38" spans="2:8">
      <c r="B38" s="59">
        <v>20</v>
      </c>
      <c r="C38" s="74">
        <f>[15]step2!C38</f>
        <v>0</v>
      </c>
      <c r="D38" s="61" t="s">
        <v>130</v>
      </c>
    </row>
    <row r="39" spans="2:8">
      <c r="B39" s="59">
        <v>21</v>
      </c>
      <c r="C39" s="74">
        <f>[15]step2!C39</f>
        <v>0</v>
      </c>
      <c r="D39" s="61" t="s">
        <v>130</v>
      </c>
    </row>
    <row r="40" spans="2:8">
      <c r="B40" s="59">
        <v>22</v>
      </c>
      <c r="C40" s="74">
        <f>[15]step2!C40</f>
        <v>0</v>
      </c>
      <c r="D40" s="61" t="s">
        <v>130</v>
      </c>
    </row>
    <row r="41" spans="2:8">
      <c r="B41" s="59">
        <v>23</v>
      </c>
      <c r="C41" s="74">
        <f>[15]step2!C41</f>
        <v>0</v>
      </c>
      <c r="D41" s="61"/>
    </row>
    <row r="42" spans="2:8">
      <c r="B42" s="62">
        <v>24</v>
      </c>
      <c r="C42" s="140">
        <f>[15]step2!C42</f>
        <v>0</v>
      </c>
      <c r="D42" s="64"/>
    </row>
    <row r="43" spans="2:8">
      <c r="D43" s="76"/>
    </row>
    <row r="45" spans="2:8" ht="17.399999999999999">
      <c r="B45" s="25" t="s">
        <v>117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F892E-F6B5-440A-B070-2160229CDD28}">
  <dimension ref="A1:L58"/>
  <sheetViews>
    <sheetView tabSelected="1" workbookViewId="0">
      <selection sqref="A1:XFD1048576"/>
    </sheetView>
  </sheetViews>
  <sheetFormatPr defaultRowHeight="14.4"/>
  <cols>
    <col min="3" max="3" width="11.5546875" customWidth="1"/>
    <col min="4" max="4" width="11.6640625" customWidth="1"/>
    <col min="5" max="6" width="9.6640625" customWidth="1"/>
    <col min="7" max="7" width="4.6640625" customWidth="1"/>
    <col min="8" max="8" width="17.6640625" customWidth="1"/>
    <col min="12" max="12" width="9" customWidth="1"/>
    <col min="259" max="259" width="11.5546875" customWidth="1"/>
    <col min="260" max="260" width="11.6640625" customWidth="1"/>
    <col min="261" max="262" width="9.6640625" customWidth="1"/>
    <col min="263" max="263" width="4.6640625" customWidth="1"/>
    <col min="264" max="264" width="17.6640625" customWidth="1"/>
    <col min="268" max="268" width="9" customWidth="1"/>
    <col min="515" max="515" width="11.5546875" customWidth="1"/>
    <col min="516" max="516" width="11.6640625" customWidth="1"/>
    <col min="517" max="518" width="9.6640625" customWidth="1"/>
    <col min="519" max="519" width="4.6640625" customWidth="1"/>
    <col min="520" max="520" width="17.6640625" customWidth="1"/>
    <col min="524" max="524" width="9" customWidth="1"/>
    <col min="771" max="771" width="11.5546875" customWidth="1"/>
    <col min="772" max="772" width="11.6640625" customWidth="1"/>
    <col min="773" max="774" width="9.6640625" customWidth="1"/>
    <col min="775" max="775" width="4.6640625" customWidth="1"/>
    <col min="776" max="776" width="17.6640625" customWidth="1"/>
    <col min="780" max="780" width="9" customWidth="1"/>
    <col min="1027" max="1027" width="11.5546875" customWidth="1"/>
    <col min="1028" max="1028" width="11.6640625" customWidth="1"/>
    <col min="1029" max="1030" width="9.6640625" customWidth="1"/>
    <col min="1031" max="1031" width="4.6640625" customWidth="1"/>
    <col min="1032" max="1032" width="17.6640625" customWidth="1"/>
    <col min="1036" max="1036" width="9" customWidth="1"/>
    <col min="1283" max="1283" width="11.5546875" customWidth="1"/>
    <col min="1284" max="1284" width="11.6640625" customWidth="1"/>
    <col min="1285" max="1286" width="9.6640625" customWidth="1"/>
    <col min="1287" max="1287" width="4.6640625" customWidth="1"/>
    <col min="1288" max="1288" width="17.6640625" customWidth="1"/>
    <col min="1292" max="1292" width="9" customWidth="1"/>
    <col min="1539" max="1539" width="11.5546875" customWidth="1"/>
    <col min="1540" max="1540" width="11.6640625" customWidth="1"/>
    <col min="1541" max="1542" width="9.6640625" customWidth="1"/>
    <col min="1543" max="1543" width="4.6640625" customWidth="1"/>
    <col min="1544" max="1544" width="17.6640625" customWidth="1"/>
    <col min="1548" max="1548" width="9" customWidth="1"/>
    <col min="1795" max="1795" width="11.5546875" customWidth="1"/>
    <col min="1796" max="1796" width="11.6640625" customWidth="1"/>
    <col min="1797" max="1798" width="9.6640625" customWidth="1"/>
    <col min="1799" max="1799" width="4.6640625" customWidth="1"/>
    <col min="1800" max="1800" width="17.6640625" customWidth="1"/>
    <col min="1804" max="1804" width="9" customWidth="1"/>
    <col min="2051" max="2051" width="11.5546875" customWidth="1"/>
    <col min="2052" max="2052" width="11.6640625" customWidth="1"/>
    <col min="2053" max="2054" width="9.6640625" customWidth="1"/>
    <col min="2055" max="2055" width="4.6640625" customWidth="1"/>
    <col min="2056" max="2056" width="17.6640625" customWidth="1"/>
    <col min="2060" max="2060" width="9" customWidth="1"/>
    <col min="2307" max="2307" width="11.5546875" customWidth="1"/>
    <col min="2308" max="2308" width="11.6640625" customWidth="1"/>
    <col min="2309" max="2310" width="9.6640625" customWidth="1"/>
    <col min="2311" max="2311" width="4.6640625" customWidth="1"/>
    <col min="2312" max="2312" width="17.6640625" customWidth="1"/>
    <col min="2316" max="2316" width="9" customWidth="1"/>
    <col min="2563" max="2563" width="11.5546875" customWidth="1"/>
    <col min="2564" max="2564" width="11.6640625" customWidth="1"/>
    <col min="2565" max="2566" width="9.6640625" customWidth="1"/>
    <col min="2567" max="2567" width="4.6640625" customWidth="1"/>
    <col min="2568" max="2568" width="17.6640625" customWidth="1"/>
    <col min="2572" max="2572" width="9" customWidth="1"/>
    <col min="2819" max="2819" width="11.5546875" customWidth="1"/>
    <col min="2820" max="2820" width="11.6640625" customWidth="1"/>
    <col min="2821" max="2822" width="9.6640625" customWidth="1"/>
    <col min="2823" max="2823" width="4.6640625" customWidth="1"/>
    <col min="2824" max="2824" width="17.6640625" customWidth="1"/>
    <col min="2828" max="2828" width="9" customWidth="1"/>
    <col min="3075" max="3075" width="11.5546875" customWidth="1"/>
    <col min="3076" max="3076" width="11.6640625" customWidth="1"/>
    <col min="3077" max="3078" width="9.6640625" customWidth="1"/>
    <col min="3079" max="3079" width="4.6640625" customWidth="1"/>
    <col min="3080" max="3080" width="17.6640625" customWidth="1"/>
    <col min="3084" max="3084" width="9" customWidth="1"/>
    <col min="3331" max="3331" width="11.5546875" customWidth="1"/>
    <col min="3332" max="3332" width="11.6640625" customWidth="1"/>
    <col min="3333" max="3334" width="9.6640625" customWidth="1"/>
    <col min="3335" max="3335" width="4.6640625" customWidth="1"/>
    <col min="3336" max="3336" width="17.6640625" customWidth="1"/>
    <col min="3340" max="3340" width="9" customWidth="1"/>
    <col min="3587" max="3587" width="11.5546875" customWidth="1"/>
    <col min="3588" max="3588" width="11.6640625" customWidth="1"/>
    <col min="3589" max="3590" width="9.6640625" customWidth="1"/>
    <col min="3591" max="3591" width="4.6640625" customWidth="1"/>
    <col min="3592" max="3592" width="17.6640625" customWidth="1"/>
    <col min="3596" max="3596" width="9" customWidth="1"/>
    <col min="3843" max="3843" width="11.5546875" customWidth="1"/>
    <col min="3844" max="3844" width="11.6640625" customWidth="1"/>
    <col min="3845" max="3846" width="9.6640625" customWidth="1"/>
    <col min="3847" max="3847" width="4.6640625" customWidth="1"/>
    <col min="3848" max="3848" width="17.6640625" customWidth="1"/>
    <col min="3852" max="3852" width="9" customWidth="1"/>
    <col min="4099" max="4099" width="11.5546875" customWidth="1"/>
    <col min="4100" max="4100" width="11.6640625" customWidth="1"/>
    <col min="4101" max="4102" width="9.6640625" customWidth="1"/>
    <col min="4103" max="4103" width="4.6640625" customWidth="1"/>
    <col min="4104" max="4104" width="17.6640625" customWidth="1"/>
    <col min="4108" max="4108" width="9" customWidth="1"/>
    <col min="4355" max="4355" width="11.5546875" customWidth="1"/>
    <col min="4356" max="4356" width="11.6640625" customWidth="1"/>
    <col min="4357" max="4358" width="9.6640625" customWidth="1"/>
    <col min="4359" max="4359" width="4.6640625" customWidth="1"/>
    <col min="4360" max="4360" width="17.6640625" customWidth="1"/>
    <col min="4364" max="4364" width="9" customWidth="1"/>
    <col min="4611" max="4611" width="11.5546875" customWidth="1"/>
    <col min="4612" max="4612" width="11.6640625" customWidth="1"/>
    <col min="4613" max="4614" width="9.6640625" customWidth="1"/>
    <col min="4615" max="4615" width="4.6640625" customWidth="1"/>
    <col min="4616" max="4616" width="17.6640625" customWidth="1"/>
    <col min="4620" max="4620" width="9" customWidth="1"/>
    <col min="4867" max="4867" width="11.5546875" customWidth="1"/>
    <col min="4868" max="4868" width="11.6640625" customWidth="1"/>
    <col min="4869" max="4870" width="9.6640625" customWidth="1"/>
    <col min="4871" max="4871" width="4.6640625" customWidth="1"/>
    <col min="4872" max="4872" width="17.6640625" customWidth="1"/>
    <col min="4876" max="4876" width="9" customWidth="1"/>
    <col min="5123" max="5123" width="11.5546875" customWidth="1"/>
    <col min="5124" max="5124" width="11.6640625" customWidth="1"/>
    <col min="5125" max="5126" width="9.6640625" customWidth="1"/>
    <col min="5127" max="5127" width="4.6640625" customWidth="1"/>
    <col min="5128" max="5128" width="17.6640625" customWidth="1"/>
    <col min="5132" max="5132" width="9" customWidth="1"/>
    <col min="5379" max="5379" width="11.5546875" customWidth="1"/>
    <col min="5380" max="5380" width="11.6640625" customWidth="1"/>
    <col min="5381" max="5382" width="9.6640625" customWidth="1"/>
    <col min="5383" max="5383" width="4.6640625" customWidth="1"/>
    <col min="5384" max="5384" width="17.6640625" customWidth="1"/>
    <col min="5388" max="5388" width="9" customWidth="1"/>
    <col min="5635" max="5635" width="11.5546875" customWidth="1"/>
    <col min="5636" max="5636" width="11.6640625" customWidth="1"/>
    <col min="5637" max="5638" width="9.6640625" customWidth="1"/>
    <col min="5639" max="5639" width="4.6640625" customWidth="1"/>
    <col min="5640" max="5640" width="17.6640625" customWidth="1"/>
    <col min="5644" max="5644" width="9" customWidth="1"/>
    <col min="5891" max="5891" width="11.5546875" customWidth="1"/>
    <col min="5892" max="5892" width="11.6640625" customWidth="1"/>
    <col min="5893" max="5894" width="9.6640625" customWidth="1"/>
    <col min="5895" max="5895" width="4.6640625" customWidth="1"/>
    <col min="5896" max="5896" width="17.6640625" customWidth="1"/>
    <col min="5900" max="5900" width="9" customWidth="1"/>
    <col min="6147" max="6147" width="11.5546875" customWidth="1"/>
    <col min="6148" max="6148" width="11.6640625" customWidth="1"/>
    <col min="6149" max="6150" width="9.6640625" customWidth="1"/>
    <col min="6151" max="6151" width="4.6640625" customWidth="1"/>
    <col min="6152" max="6152" width="17.6640625" customWidth="1"/>
    <col min="6156" max="6156" width="9" customWidth="1"/>
    <col min="6403" max="6403" width="11.5546875" customWidth="1"/>
    <col min="6404" max="6404" width="11.6640625" customWidth="1"/>
    <col min="6405" max="6406" width="9.6640625" customWidth="1"/>
    <col min="6407" max="6407" width="4.6640625" customWidth="1"/>
    <col min="6408" max="6408" width="17.6640625" customWidth="1"/>
    <col min="6412" max="6412" width="9" customWidth="1"/>
    <col min="6659" max="6659" width="11.5546875" customWidth="1"/>
    <col min="6660" max="6660" width="11.6640625" customWidth="1"/>
    <col min="6661" max="6662" width="9.6640625" customWidth="1"/>
    <col min="6663" max="6663" width="4.6640625" customWidth="1"/>
    <col min="6664" max="6664" width="17.6640625" customWidth="1"/>
    <col min="6668" max="6668" width="9" customWidth="1"/>
    <col min="6915" max="6915" width="11.5546875" customWidth="1"/>
    <col min="6916" max="6916" width="11.6640625" customWidth="1"/>
    <col min="6917" max="6918" width="9.6640625" customWidth="1"/>
    <col min="6919" max="6919" width="4.6640625" customWidth="1"/>
    <col min="6920" max="6920" width="17.6640625" customWidth="1"/>
    <col min="6924" max="6924" width="9" customWidth="1"/>
    <col min="7171" max="7171" width="11.5546875" customWidth="1"/>
    <col min="7172" max="7172" width="11.6640625" customWidth="1"/>
    <col min="7173" max="7174" width="9.6640625" customWidth="1"/>
    <col min="7175" max="7175" width="4.6640625" customWidth="1"/>
    <col min="7176" max="7176" width="17.6640625" customWidth="1"/>
    <col min="7180" max="7180" width="9" customWidth="1"/>
    <col min="7427" max="7427" width="11.5546875" customWidth="1"/>
    <col min="7428" max="7428" width="11.6640625" customWidth="1"/>
    <col min="7429" max="7430" width="9.6640625" customWidth="1"/>
    <col min="7431" max="7431" width="4.6640625" customWidth="1"/>
    <col min="7432" max="7432" width="17.6640625" customWidth="1"/>
    <col min="7436" max="7436" width="9" customWidth="1"/>
    <col min="7683" max="7683" width="11.5546875" customWidth="1"/>
    <col min="7684" max="7684" width="11.6640625" customWidth="1"/>
    <col min="7685" max="7686" width="9.6640625" customWidth="1"/>
    <col min="7687" max="7687" width="4.6640625" customWidth="1"/>
    <col min="7688" max="7688" width="17.6640625" customWidth="1"/>
    <col min="7692" max="7692" width="9" customWidth="1"/>
    <col min="7939" max="7939" width="11.5546875" customWidth="1"/>
    <col min="7940" max="7940" width="11.6640625" customWidth="1"/>
    <col min="7941" max="7942" width="9.6640625" customWidth="1"/>
    <col min="7943" max="7943" width="4.6640625" customWidth="1"/>
    <col min="7944" max="7944" width="17.6640625" customWidth="1"/>
    <col min="7948" max="7948" width="9" customWidth="1"/>
    <col min="8195" max="8195" width="11.5546875" customWidth="1"/>
    <col min="8196" max="8196" width="11.6640625" customWidth="1"/>
    <col min="8197" max="8198" width="9.6640625" customWidth="1"/>
    <col min="8199" max="8199" width="4.6640625" customWidth="1"/>
    <col min="8200" max="8200" width="17.6640625" customWidth="1"/>
    <col min="8204" max="8204" width="9" customWidth="1"/>
    <col min="8451" max="8451" width="11.5546875" customWidth="1"/>
    <col min="8452" max="8452" width="11.6640625" customWidth="1"/>
    <col min="8453" max="8454" width="9.6640625" customWidth="1"/>
    <col min="8455" max="8455" width="4.6640625" customWidth="1"/>
    <col min="8456" max="8456" width="17.6640625" customWidth="1"/>
    <col min="8460" max="8460" width="9" customWidth="1"/>
    <col min="8707" max="8707" width="11.5546875" customWidth="1"/>
    <col min="8708" max="8708" width="11.6640625" customWidth="1"/>
    <col min="8709" max="8710" width="9.6640625" customWidth="1"/>
    <col min="8711" max="8711" width="4.6640625" customWidth="1"/>
    <col min="8712" max="8712" width="17.6640625" customWidth="1"/>
    <col min="8716" max="8716" width="9" customWidth="1"/>
    <col min="8963" max="8963" width="11.5546875" customWidth="1"/>
    <col min="8964" max="8964" width="11.6640625" customWidth="1"/>
    <col min="8965" max="8966" width="9.6640625" customWidth="1"/>
    <col min="8967" max="8967" width="4.6640625" customWidth="1"/>
    <col min="8968" max="8968" width="17.6640625" customWidth="1"/>
    <col min="8972" max="8972" width="9" customWidth="1"/>
    <col min="9219" max="9219" width="11.5546875" customWidth="1"/>
    <col min="9220" max="9220" width="11.6640625" customWidth="1"/>
    <col min="9221" max="9222" width="9.6640625" customWidth="1"/>
    <col min="9223" max="9223" width="4.6640625" customWidth="1"/>
    <col min="9224" max="9224" width="17.6640625" customWidth="1"/>
    <col min="9228" max="9228" width="9" customWidth="1"/>
    <col min="9475" max="9475" width="11.5546875" customWidth="1"/>
    <col min="9476" max="9476" width="11.6640625" customWidth="1"/>
    <col min="9477" max="9478" width="9.6640625" customWidth="1"/>
    <col min="9479" max="9479" width="4.6640625" customWidth="1"/>
    <col min="9480" max="9480" width="17.6640625" customWidth="1"/>
    <col min="9484" max="9484" width="9" customWidth="1"/>
    <col min="9731" max="9731" width="11.5546875" customWidth="1"/>
    <col min="9732" max="9732" width="11.6640625" customWidth="1"/>
    <col min="9733" max="9734" width="9.6640625" customWidth="1"/>
    <col min="9735" max="9735" width="4.6640625" customWidth="1"/>
    <col min="9736" max="9736" width="17.6640625" customWidth="1"/>
    <col min="9740" max="9740" width="9" customWidth="1"/>
    <col min="9987" max="9987" width="11.5546875" customWidth="1"/>
    <col min="9988" max="9988" width="11.6640625" customWidth="1"/>
    <col min="9989" max="9990" width="9.6640625" customWidth="1"/>
    <col min="9991" max="9991" width="4.6640625" customWidth="1"/>
    <col min="9992" max="9992" width="17.6640625" customWidth="1"/>
    <col min="9996" max="9996" width="9" customWidth="1"/>
    <col min="10243" max="10243" width="11.5546875" customWidth="1"/>
    <col min="10244" max="10244" width="11.6640625" customWidth="1"/>
    <col min="10245" max="10246" width="9.6640625" customWidth="1"/>
    <col min="10247" max="10247" width="4.6640625" customWidth="1"/>
    <col min="10248" max="10248" width="17.6640625" customWidth="1"/>
    <col min="10252" max="10252" width="9" customWidth="1"/>
    <col min="10499" max="10499" width="11.5546875" customWidth="1"/>
    <col min="10500" max="10500" width="11.6640625" customWidth="1"/>
    <col min="10501" max="10502" width="9.6640625" customWidth="1"/>
    <col min="10503" max="10503" width="4.6640625" customWidth="1"/>
    <col min="10504" max="10504" width="17.6640625" customWidth="1"/>
    <col min="10508" max="10508" width="9" customWidth="1"/>
    <col min="10755" max="10755" width="11.5546875" customWidth="1"/>
    <col min="10756" max="10756" width="11.6640625" customWidth="1"/>
    <col min="10757" max="10758" width="9.6640625" customWidth="1"/>
    <col min="10759" max="10759" width="4.6640625" customWidth="1"/>
    <col min="10760" max="10760" width="17.6640625" customWidth="1"/>
    <col min="10764" max="10764" width="9" customWidth="1"/>
    <col min="11011" max="11011" width="11.5546875" customWidth="1"/>
    <col min="11012" max="11012" width="11.6640625" customWidth="1"/>
    <col min="11013" max="11014" width="9.6640625" customWidth="1"/>
    <col min="11015" max="11015" width="4.6640625" customWidth="1"/>
    <col min="11016" max="11016" width="17.6640625" customWidth="1"/>
    <col min="11020" max="11020" width="9" customWidth="1"/>
    <col min="11267" max="11267" width="11.5546875" customWidth="1"/>
    <col min="11268" max="11268" width="11.6640625" customWidth="1"/>
    <col min="11269" max="11270" width="9.6640625" customWidth="1"/>
    <col min="11271" max="11271" width="4.6640625" customWidth="1"/>
    <col min="11272" max="11272" width="17.6640625" customWidth="1"/>
    <col min="11276" max="11276" width="9" customWidth="1"/>
    <col min="11523" max="11523" width="11.5546875" customWidth="1"/>
    <col min="11524" max="11524" width="11.6640625" customWidth="1"/>
    <col min="11525" max="11526" width="9.6640625" customWidth="1"/>
    <col min="11527" max="11527" width="4.6640625" customWidth="1"/>
    <col min="11528" max="11528" width="17.6640625" customWidth="1"/>
    <col min="11532" max="11532" width="9" customWidth="1"/>
    <col min="11779" max="11779" width="11.5546875" customWidth="1"/>
    <col min="11780" max="11780" width="11.6640625" customWidth="1"/>
    <col min="11781" max="11782" width="9.6640625" customWidth="1"/>
    <col min="11783" max="11783" width="4.6640625" customWidth="1"/>
    <col min="11784" max="11784" width="17.6640625" customWidth="1"/>
    <col min="11788" max="11788" width="9" customWidth="1"/>
    <col min="12035" max="12035" width="11.5546875" customWidth="1"/>
    <col min="12036" max="12036" width="11.6640625" customWidth="1"/>
    <col min="12037" max="12038" width="9.6640625" customWidth="1"/>
    <col min="12039" max="12039" width="4.6640625" customWidth="1"/>
    <col min="12040" max="12040" width="17.6640625" customWidth="1"/>
    <col min="12044" max="12044" width="9" customWidth="1"/>
    <col min="12291" max="12291" width="11.5546875" customWidth="1"/>
    <col min="12292" max="12292" width="11.6640625" customWidth="1"/>
    <col min="12293" max="12294" width="9.6640625" customWidth="1"/>
    <col min="12295" max="12295" width="4.6640625" customWidth="1"/>
    <col min="12296" max="12296" width="17.6640625" customWidth="1"/>
    <col min="12300" max="12300" width="9" customWidth="1"/>
    <col min="12547" max="12547" width="11.5546875" customWidth="1"/>
    <col min="12548" max="12548" width="11.6640625" customWidth="1"/>
    <col min="12549" max="12550" width="9.6640625" customWidth="1"/>
    <col min="12551" max="12551" width="4.6640625" customWidth="1"/>
    <col min="12552" max="12552" width="17.6640625" customWidth="1"/>
    <col min="12556" max="12556" width="9" customWidth="1"/>
    <col min="12803" max="12803" width="11.5546875" customWidth="1"/>
    <col min="12804" max="12804" width="11.6640625" customWidth="1"/>
    <col min="12805" max="12806" width="9.6640625" customWidth="1"/>
    <col min="12807" max="12807" width="4.6640625" customWidth="1"/>
    <col min="12808" max="12808" width="17.6640625" customWidth="1"/>
    <col min="12812" max="12812" width="9" customWidth="1"/>
    <col min="13059" max="13059" width="11.5546875" customWidth="1"/>
    <col min="13060" max="13060" width="11.6640625" customWidth="1"/>
    <col min="13061" max="13062" width="9.6640625" customWidth="1"/>
    <col min="13063" max="13063" width="4.6640625" customWidth="1"/>
    <col min="13064" max="13064" width="17.6640625" customWidth="1"/>
    <col min="13068" max="13068" width="9" customWidth="1"/>
    <col min="13315" max="13315" width="11.5546875" customWidth="1"/>
    <col min="13316" max="13316" width="11.6640625" customWidth="1"/>
    <col min="13317" max="13318" width="9.6640625" customWidth="1"/>
    <col min="13319" max="13319" width="4.6640625" customWidth="1"/>
    <col min="13320" max="13320" width="17.6640625" customWidth="1"/>
    <col min="13324" max="13324" width="9" customWidth="1"/>
    <col min="13571" max="13571" width="11.5546875" customWidth="1"/>
    <col min="13572" max="13572" width="11.6640625" customWidth="1"/>
    <col min="13573" max="13574" width="9.6640625" customWidth="1"/>
    <col min="13575" max="13575" width="4.6640625" customWidth="1"/>
    <col min="13576" max="13576" width="17.6640625" customWidth="1"/>
    <col min="13580" max="13580" width="9" customWidth="1"/>
    <col min="13827" max="13827" width="11.5546875" customWidth="1"/>
    <col min="13828" max="13828" width="11.6640625" customWidth="1"/>
    <col min="13829" max="13830" width="9.6640625" customWidth="1"/>
    <col min="13831" max="13831" width="4.6640625" customWidth="1"/>
    <col min="13832" max="13832" width="17.6640625" customWidth="1"/>
    <col min="13836" max="13836" width="9" customWidth="1"/>
    <col min="14083" max="14083" width="11.5546875" customWidth="1"/>
    <col min="14084" max="14084" width="11.6640625" customWidth="1"/>
    <col min="14085" max="14086" width="9.6640625" customWidth="1"/>
    <col min="14087" max="14087" width="4.6640625" customWidth="1"/>
    <col min="14088" max="14088" width="17.6640625" customWidth="1"/>
    <col min="14092" max="14092" width="9" customWidth="1"/>
    <col min="14339" max="14339" width="11.5546875" customWidth="1"/>
    <col min="14340" max="14340" width="11.6640625" customWidth="1"/>
    <col min="14341" max="14342" width="9.6640625" customWidth="1"/>
    <col min="14343" max="14343" width="4.6640625" customWidth="1"/>
    <col min="14344" max="14344" width="17.6640625" customWidth="1"/>
    <col min="14348" max="14348" width="9" customWidth="1"/>
    <col min="14595" max="14595" width="11.5546875" customWidth="1"/>
    <col min="14596" max="14596" width="11.6640625" customWidth="1"/>
    <col min="14597" max="14598" width="9.6640625" customWidth="1"/>
    <col min="14599" max="14599" width="4.6640625" customWidth="1"/>
    <col min="14600" max="14600" width="17.6640625" customWidth="1"/>
    <col min="14604" max="14604" width="9" customWidth="1"/>
    <col min="14851" max="14851" width="11.5546875" customWidth="1"/>
    <col min="14852" max="14852" width="11.6640625" customWidth="1"/>
    <col min="14853" max="14854" width="9.6640625" customWidth="1"/>
    <col min="14855" max="14855" width="4.6640625" customWidth="1"/>
    <col min="14856" max="14856" width="17.6640625" customWidth="1"/>
    <col min="14860" max="14860" width="9" customWidth="1"/>
    <col min="15107" max="15107" width="11.5546875" customWidth="1"/>
    <col min="15108" max="15108" width="11.6640625" customWidth="1"/>
    <col min="15109" max="15110" width="9.6640625" customWidth="1"/>
    <col min="15111" max="15111" width="4.6640625" customWidth="1"/>
    <col min="15112" max="15112" width="17.6640625" customWidth="1"/>
    <col min="15116" max="15116" width="9" customWidth="1"/>
    <col min="15363" max="15363" width="11.5546875" customWidth="1"/>
    <col min="15364" max="15364" width="11.6640625" customWidth="1"/>
    <col min="15365" max="15366" width="9.6640625" customWidth="1"/>
    <col min="15367" max="15367" width="4.6640625" customWidth="1"/>
    <col min="15368" max="15368" width="17.6640625" customWidth="1"/>
    <col min="15372" max="15372" width="9" customWidth="1"/>
    <col min="15619" max="15619" width="11.5546875" customWidth="1"/>
    <col min="15620" max="15620" width="11.6640625" customWidth="1"/>
    <col min="15621" max="15622" width="9.6640625" customWidth="1"/>
    <col min="15623" max="15623" width="4.6640625" customWidth="1"/>
    <col min="15624" max="15624" width="17.6640625" customWidth="1"/>
    <col min="15628" max="15628" width="9" customWidth="1"/>
    <col min="15875" max="15875" width="11.5546875" customWidth="1"/>
    <col min="15876" max="15876" width="11.6640625" customWidth="1"/>
    <col min="15877" max="15878" width="9.6640625" customWidth="1"/>
    <col min="15879" max="15879" width="4.6640625" customWidth="1"/>
    <col min="15880" max="15880" width="17.6640625" customWidth="1"/>
    <col min="15884" max="15884" width="9" customWidth="1"/>
    <col min="16131" max="16131" width="11.5546875" customWidth="1"/>
    <col min="16132" max="16132" width="11.6640625" customWidth="1"/>
    <col min="16133" max="16134" width="9.6640625" customWidth="1"/>
    <col min="16135" max="16135" width="4.6640625" customWidth="1"/>
    <col min="16136" max="16136" width="17.6640625" customWidth="1"/>
    <col min="16140" max="16140" width="9" customWidth="1"/>
  </cols>
  <sheetData>
    <row r="1" spans="1:12" ht="17.399999999999999">
      <c r="D1" s="43" t="str">
        <f>[22]step1!D1</f>
        <v>Sensitivity Analysis</v>
      </c>
    </row>
    <row r="2" spans="1:12" ht="17.399999999999999">
      <c r="D2" s="43" t="str">
        <f>[22]step1!D2</f>
        <v>Delivery van problems</v>
      </c>
    </row>
    <row r="5" spans="1:12">
      <c r="B5" s="44" t="str">
        <f>[22]step1!B5</f>
        <v>Real Greens Produce is starting home delivery of fresh produce via internet ordering.</v>
      </c>
      <c r="C5" s="45"/>
      <c r="D5" s="45"/>
      <c r="E5" s="45"/>
      <c r="F5" s="45"/>
      <c r="G5" s="45"/>
      <c r="H5" s="46"/>
    </row>
    <row r="6" spans="1:12">
      <c r="B6" s="47" t="str">
        <f>[22]step1!B6</f>
        <v>They analyzed both a new and a used delivery van using incremental rate-of-return</v>
      </c>
      <c r="C6" s="48"/>
      <c r="D6" s="48"/>
      <c r="E6" s="48"/>
      <c r="F6" s="48"/>
      <c r="G6" s="48"/>
      <c r="H6" s="50"/>
    </row>
    <row r="7" spans="1:12">
      <c r="B7" s="47" t="str">
        <f>[22]step1!B7</f>
        <v>analysis, as shown in the tables below.  The store manager is concerned about the</v>
      </c>
      <c r="C7" s="48"/>
      <c r="D7" s="48"/>
      <c r="E7" s="48"/>
      <c r="F7" s="48"/>
      <c r="G7" s="48"/>
      <c r="H7" s="50"/>
      <c r="L7" s="84"/>
    </row>
    <row r="8" spans="1:12">
      <c r="B8" s="47" t="str">
        <f>[22]step1!B8</f>
        <v>new van salvage value data accuracy.  Use sensitivity analysis, change the data</v>
      </c>
      <c r="C8" s="48"/>
      <c r="D8" s="48"/>
      <c r="E8" s="48"/>
      <c r="F8" s="48"/>
      <c r="G8" s="48"/>
      <c r="H8" s="50"/>
      <c r="L8" s="127"/>
    </row>
    <row r="9" spans="1:12">
      <c r="B9" s="51" t="str">
        <f>[22]step1!B9</f>
        <v>by -$2000, -$1000, $0, $1000, and $2000 to see if the decision changes, if MARR=20%.</v>
      </c>
      <c r="C9" s="52"/>
      <c r="D9" s="52"/>
      <c r="E9" s="52"/>
      <c r="F9" s="52"/>
      <c r="G9" s="52"/>
      <c r="H9" s="54"/>
      <c r="L9" s="132"/>
    </row>
    <row r="10" spans="1:12">
      <c r="F10" s="146"/>
      <c r="L10" s="84"/>
    </row>
    <row r="11" spans="1:12">
      <c r="L11" s="127"/>
    </row>
    <row r="12" spans="1:12" ht="15.6">
      <c r="A12" s="55" t="s">
        <v>97</v>
      </c>
      <c r="B12" s="56"/>
      <c r="C12" s="57"/>
      <c r="D12" s="57"/>
      <c r="E12" s="57"/>
      <c r="F12" s="57"/>
      <c r="G12" s="57"/>
      <c r="H12" s="58"/>
    </row>
    <row r="13" spans="1:12" ht="15.6">
      <c r="A13" s="59"/>
      <c r="B13" s="60" t="s">
        <v>146</v>
      </c>
      <c r="H13" s="61"/>
    </row>
    <row r="14" spans="1:12">
      <c r="A14" s="62"/>
      <c r="B14" s="63"/>
      <c r="C14" s="63"/>
      <c r="D14" s="63"/>
      <c r="E14" s="63"/>
      <c r="F14" s="63"/>
      <c r="G14" s="63"/>
      <c r="H14" s="64"/>
    </row>
    <row r="18" spans="2:12">
      <c r="B18" s="264" t="s">
        <v>300</v>
      </c>
      <c r="C18" s="57"/>
      <c r="D18" s="265" t="s">
        <v>301</v>
      </c>
      <c r="E18" s="266" t="s">
        <v>302</v>
      </c>
      <c r="F18" s="150"/>
      <c r="G18" s="267"/>
      <c r="H18" s="264" t="s">
        <v>303</v>
      </c>
      <c r="I18" s="58"/>
    </row>
    <row r="19" spans="2:12">
      <c r="B19" s="59" t="s">
        <v>291</v>
      </c>
      <c r="D19" s="181">
        <v>22000</v>
      </c>
      <c r="E19" s="181">
        <v>11000</v>
      </c>
      <c r="F19" s="61"/>
      <c r="G19" s="93"/>
      <c r="H19" s="268" t="str">
        <f>[22]step1!$L$4</f>
        <v>new van</v>
      </c>
      <c r="I19" s="61"/>
      <c r="J19" s="93"/>
    </row>
    <row r="20" spans="2:12">
      <c r="B20" s="59" t="s">
        <v>304</v>
      </c>
      <c r="D20" s="181">
        <v>700</v>
      </c>
      <c r="E20" s="181">
        <v>2000</v>
      </c>
      <c r="F20" s="61"/>
      <c r="G20" s="152"/>
      <c r="H20" s="269" t="str">
        <f>[22]step1!$L$11</f>
        <v>salvage value</v>
      </c>
      <c r="I20" s="270" t="s">
        <v>305</v>
      </c>
      <c r="J20" s="93"/>
      <c r="K20" s="132"/>
      <c r="L20" s="84"/>
    </row>
    <row r="21" spans="2:12">
      <c r="B21" s="59" t="s">
        <v>284</v>
      </c>
      <c r="C21" s="271"/>
      <c r="D21" s="181">
        <v>8000</v>
      </c>
      <c r="E21" s="181">
        <v>4000</v>
      </c>
      <c r="F21" s="61"/>
      <c r="G21" s="93"/>
      <c r="H21" s="272">
        <v>8000</v>
      </c>
      <c r="I21" s="273">
        <f>E55</f>
        <v>2.2939366404328698E-2</v>
      </c>
      <c r="J21" s="93"/>
    </row>
    <row r="22" spans="2:12">
      <c r="B22" s="274" t="s">
        <v>306</v>
      </c>
      <c r="C22" s="275"/>
      <c r="D22" s="63"/>
      <c r="E22" s="63"/>
      <c r="F22" s="64"/>
      <c r="G22" s="152"/>
      <c r="H22" s="276">
        <v>9000</v>
      </c>
      <c r="I22" s="277">
        <v>4.5815663141077545E-2</v>
      </c>
      <c r="J22" s="93"/>
    </row>
    <row r="23" spans="2:12">
      <c r="C23" s="271"/>
      <c r="G23" s="152"/>
      <c r="H23" s="276">
        <v>10000</v>
      </c>
      <c r="I23" s="277">
        <v>6.652557899811895E-2</v>
      </c>
      <c r="J23" s="93"/>
    </row>
    <row r="24" spans="2:12">
      <c r="C24" s="271"/>
      <c r="G24" s="93"/>
      <c r="H24" s="276">
        <v>11000</v>
      </c>
      <c r="I24" s="277">
        <v>8.5491355954284254E-2</v>
      </c>
      <c r="J24" s="93"/>
    </row>
    <row r="25" spans="2:12">
      <c r="B25" s="278" t="s">
        <v>301</v>
      </c>
      <c r="C25" s="279"/>
      <c r="D25" s="148" t="s">
        <v>307</v>
      </c>
      <c r="E25" s="57"/>
      <c r="F25" s="280"/>
      <c r="G25" s="159"/>
      <c r="H25" s="281">
        <v>12000</v>
      </c>
      <c r="I25" s="282">
        <v>0.10301854986538794</v>
      </c>
      <c r="J25" s="93"/>
    </row>
    <row r="26" spans="2:12">
      <c r="B26" s="139" t="s">
        <v>99</v>
      </c>
      <c r="C26" s="283" t="s">
        <v>286</v>
      </c>
      <c r="D26" s="283" t="s">
        <v>308</v>
      </c>
      <c r="E26" s="63" t="s">
        <v>108</v>
      </c>
      <c r="F26" s="215" t="s">
        <v>136</v>
      </c>
      <c r="G26" s="93"/>
      <c r="H26" s="93"/>
      <c r="I26" s="160"/>
      <c r="J26" s="93"/>
    </row>
    <row r="27" spans="2:12">
      <c r="B27" s="59">
        <v>0</v>
      </c>
      <c r="C27" s="284">
        <f>-D19</f>
        <v>-22000</v>
      </c>
      <c r="F27" s="285">
        <f t="shared" ref="F27:F32" si="0">C27+D27+E27</f>
        <v>-22000</v>
      </c>
      <c r="G27" s="93"/>
      <c r="H27" s="161" t="s">
        <v>309</v>
      </c>
      <c r="I27" s="150"/>
      <c r="J27" s="93"/>
    </row>
    <row r="28" spans="2:12">
      <c r="B28" s="59">
        <v>1</v>
      </c>
      <c r="C28" s="70"/>
      <c r="D28" s="152">
        <v>0</v>
      </c>
      <c r="E28" s="132"/>
      <c r="F28" s="286">
        <f t="shared" si="0"/>
        <v>0</v>
      </c>
      <c r="G28" s="93"/>
      <c r="H28" s="287" t="s">
        <v>174</v>
      </c>
      <c r="I28" s="288" t="s">
        <v>175</v>
      </c>
      <c r="J28" s="93"/>
    </row>
    <row r="29" spans="2:12">
      <c r="B29" s="69">
        <v>2</v>
      </c>
      <c r="C29" s="70"/>
      <c r="D29" s="152">
        <v>0</v>
      </c>
      <c r="E29" s="132"/>
      <c r="F29" s="286">
        <f t="shared" si="0"/>
        <v>0</v>
      </c>
      <c r="G29" s="164"/>
      <c r="H29" s="289" t="str">
        <f>IF(MAX(I21:I25)&gt;[22]step1!L8,"X","")</f>
        <v/>
      </c>
      <c r="I29" s="290" t="str">
        <f>IF(MAX(I21:I25)&lt;[22]step1!L8,"X","")</f>
        <v>X</v>
      </c>
      <c r="J29" s="93"/>
    </row>
    <row r="30" spans="2:12">
      <c r="B30" s="69">
        <v>3</v>
      </c>
      <c r="C30" s="70"/>
      <c r="D30" s="291">
        <f>-$D$20</f>
        <v>-700</v>
      </c>
      <c r="E30" s="152"/>
      <c r="F30" s="285">
        <f t="shared" si="0"/>
        <v>-700</v>
      </c>
      <c r="G30" s="93"/>
      <c r="H30" s="93"/>
      <c r="I30" s="93"/>
      <c r="J30" s="93"/>
    </row>
    <row r="31" spans="2:12">
      <c r="B31" s="69">
        <v>4</v>
      </c>
      <c r="C31" s="70"/>
      <c r="D31" s="291">
        <f>-$D$20</f>
        <v>-700</v>
      </c>
      <c r="E31" s="152"/>
      <c r="F31" s="285">
        <f t="shared" si="0"/>
        <v>-700</v>
      </c>
      <c r="G31" s="159"/>
      <c r="H31" s="93"/>
      <c r="I31" s="93"/>
      <c r="J31" s="93"/>
    </row>
    <row r="32" spans="2:12">
      <c r="B32" s="139">
        <v>5</v>
      </c>
      <c r="C32" s="156"/>
      <c r="D32" s="292">
        <f>-$D$20</f>
        <v>-700</v>
      </c>
      <c r="E32" s="157">
        <f>D21</f>
        <v>8000</v>
      </c>
      <c r="F32" s="293">
        <f t="shared" si="0"/>
        <v>7300</v>
      </c>
      <c r="G32" s="93"/>
      <c r="H32" s="93"/>
      <c r="I32" s="93"/>
      <c r="J32" s="93"/>
    </row>
    <row r="33" spans="2:10">
      <c r="B33" s="125"/>
      <c r="C33" s="164"/>
      <c r="D33" s="93"/>
      <c r="E33" s="152"/>
      <c r="F33" s="93"/>
      <c r="G33" s="160"/>
      <c r="H33" s="168"/>
      <c r="I33" s="93"/>
      <c r="J33" s="93"/>
    </row>
    <row r="34" spans="2:10">
      <c r="B34" s="93"/>
      <c r="C34" s="164"/>
      <c r="D34" s="93"/>
      <c r="E34" s="152"/>
      <c r="F34" s="93"/>
      <c r="G34" s="93"/>
      <c r="H34" s="93"/>
      <c r="I34" s="93"/>
      <c r="J34" s="93"/>
    </row>
    <row r="35" spans="2:10">
      <c r="B35" s="278" t="s">
        <v>302</v>
      </c>
      <c r="C35" s="279"/>
      <c r="D35" s="148" t="s">
        <v>307</v>
      </c>
      <c r="E35" s="57"/>
      <c r="F35" s="280"/>
      <c r="G35" s="93"/>
      <c r="H35" s="93"/>
      <c r="I35" s="93"/>
      <c r="J35" s="93"/>
    </row>
    <row r="36" spans="2:10">
      <c r="B36" s="139" t="s">
        <v>99</v>
      </c>
      <c r="C36" s="283" t="s">
        <v>286</v>
      </c>
      <c r="D36" s="283" t="s">
        <v>308</v>
      </c>
      <c r="E36" s="63" t="s">
        <v>108</v>
      </c>
      <c r="F36" s="215" t="s">
        <v>136</v>
      </c>
    </row>
    <row r="37" spans="2:10">
      <c r="B37" s="59">
        <v>0</v>
      </c>
      <c r="C37" s="284">
        <f>-E19</f>
        <v>-11000</v>
      </c>
      <c r="F37" s="285">
        <f t="shared" ref="F37:F42" si="1">C37+D37+E37</f>
        <v>-11000</v>
      </c>
    </row>
    <row r="38" spans="2:10">
      <c r="B38" s="59">
        <v>1</v>
      </c>
      <c r="C38" s="70"/>
      <c r="D38" s="291">
        <f>-$E$20</f>
        <v>-2000</v>
      </c>
      <c r="F38" s="285">
        <f t="shared" si="1"/>
        <v>-2000</v>
      </c>
    </row>
    <row r="39" spans="2:10">
      <c r="B39" s="69">
        <v>2</v>
      </c>
      <c r="C39" s="70"/>
      <c r="D39" s="291">
        <f>-$E$20</f>
        <v>-2000</v>
      </c>
      <c r="F39" s="285">
        <f t="shared" si="1"/>
        <v>-2000</v>
      </c>
    </row>
    <row r="40" spans="2:10">
      <c r="B40" s="69">
        <v>3</v>
      </c>
      <c r="C40" s="70"/>
      <c r="D40" s="291">
        <f>-$E$20</f>
        <v>-2000</v>
      </c>
      <c r="E40" s="152"/>
      <c r="F40" s="285">
        <f t="shared" si="1"/>
        <v>-2000</v>
      </c>
    </row>
    <row r="41" spans="2:10">
      <c r="B41" s="69">
        <v>4</v>
      </c>
      <c r="C41" s="70"/>
      <c r="D41" s="291">
        <f>-$E$20</f>
        <v>-2000</v>
      </c>
      <c r="E41" s="152"/>
      <c r="F41" s="285">
        <f t="shared" si="1"/>
        <v>-2000</v>
      </c>
    </row>
    <row r="42" spans="2:10">
      <c r="B42" s="139">
        <v>5</v>
      </c>
      <c r="C42" s="156"/>
      <c r="D42" s="292">
        <f>-$E$20</f>
        <v>-2000</v>
      </c>
      <c r="E42" s="157">
        <f>E21</f>
        <v>4000</v>
      </c>
      <c r="F42" s="293">
        <f t="shared" si="1"/>
        <v>2000</v>
      </c>
    </row>
    <row r="43" spans="2:10">
      <c r="C43" s="74"/>
    </row>
    <row r="45" spans="2:10">
      <c r="B45" s="278" t="s">
        <v>310</v>
      </c>
      <c r="C45" s="57"/>
      <c r="D45" s="57"/>
      <c r="E45" s="57"/>
      <c r="F45" s="58"/>
    </row>
    <row r="46" spans="2:10">
      <c r="B46" s="62" t="s">
        <v>99</v>
      </c>
      <c r="C46" s="63" t="s">
        <v>301</v>
      </c>
      <c r="D46" s="63" t="s">
        <v>302</v>
      </c>
      <c r="E46" s="63" t="s">
        <v>311</v>
      </c>
      <c r="F46" s="64"/>
    </row>
    <row r="47" spans="2:10">
      <c r="B47" s="59">
        <v>0</v>
      </c>
      <c r="C47" s="284">
        <f t="shared" ref="C47:C52" si="2">F27</f>
        <v>-22000</v>
      </c>
      <c r="D47" s="284">
        <f t="shared" ref="D47:D52" si="3">F37</f>
        <v>-11000</v>
      </c>
      <c r="E47" s="284">
        <f t="shared" ref="E47:E52" si="4">C47-D47</f>
        <v>-11000</v>
      </c>
      <c r="F47" s="61"/>
    </row>
    <row r="48" spans="2:10">
      <c r="B48" s="59">
        <v>1</v>
      </c>
      <c r="C48" s="284">
        <f t="shared" si="2"/>
        <v>0</v>
      </c>
      <c r="D48" s="284">
        <f t="shared" si="3"/>
        <v>-2000</v>
      </c>
      <c r="E48" s="284">
        <f t="shared" si="4"/>
        <v>2000</v>
      </c>
      <c r="F48" s="61"/>
    </row>
    <row r="49" spans="2:6">
      <c r="B49" s="59">
        <v>2</v>
      </c>
      <c r="C49" s="284">
        <f t="shared" si="2"/>
        <v>0</v>
      </c>
      <c r="D49" s="284">
        <f t="shared" si="3"/>
        <v>-2000</v>
      </c>
      <c r="E49" s="284">
        <f t="shared" si="4"/>
        <v>2000</v>
      </c>
      <c r="F49" s="61"/>
    </row>
    <row r="50" spans="2:6">
      <c r="B50" s="59">
        <v>3</v>
      </c>
      <c r="C50" s="284">
        <f t="shared" si="2"/>
        <v>-700</v>
      </c>
      <c r="D50" s="284">
        <f t="shared" si="3"/>
        <v>-2000</v>
      </c>
      <c r="E50" s="284">
        <f t="shared" si="4"/>
        <v>1300</v>
      </c>
      <c r="F50" s="61"/>
    </row>
    <row r="51" spans="2:6">
      <c r="B51" s="59">
        <v>4</v>
      </c>
      <c r="C51" s="284">
        <f t="shared" si="2"/>
        <v>-700</v>
      </c>
      <c r="D51" s="284">
        <f t="shared" si="3"/>
        <v>-2000</v>
      </c>
      <c r="E51" s="284">
        <f t="shared" si="4"/>
        <v>1300</v>
      </c>
      <c r="F51" s="61"/>
    </row>
    <row r="52" spans="2:6">
      <c r="B52" s="59">
        <v>5</v>
      </c>
      <c r="C52" s="284">
        <f t="shared" si="2"/>
        <v>7300</v>
      </c>
      <c r="D52" s="284">
        <f t="shared" si="3"/>
        <v>2000</v>
      </c>
      <c r="E52" s="284">
        <f t="shared" si="4"/>
        <v>5300</v>
      </c>
      <c r="F52" s="61"/>
    </row>
    <row r="53" spans="2:6">
      <c r="B53" s="59"/>
      <c r="F53" s="61"/>
    </row>
    <row r="54" spans="2:6">
      <c r="B54" s="59" t="s">
        <v>312</v>
      </c>
      <c r="C54" s="294"/>
      <c r="D54" s="101" t="s">
        <v>130</v>
      </c>
      <c r="F54" s="61"/>
    </row>
    <row r="55" spans="2:6">
      <c r="B55" s="62"/>
      <c r="C55" s="63"/>
      <c r="D55" s="63" t="s">
        <v>229</v>
      </c>
      <c r="E55" s="295">
        <f>IRR(E47:E52)</f>
        <v>2.2939366404328698E-2</v>
      </c>
      <c r="F55" s="64"/>
    </row>
    <row r="58" spans="2:6" ht="17.399999999999999">
      <c r="B58" s="296" t="s">
        <v>243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0F371-CE25-4E02-94B9-BA4429FB194E}">
  <dimension ref="A1:L43"/>
  <sheetViews>
    <sheetView workbookViewId="0">
      <selection activeCell="N35" sqref="N35"/>
    </sheetView>
  </sheetViews>
  <sheetFormatPr defaultRowHeight="14.4"/>
  <cols>
    <col min="2" max="2" width="9.6640625" customWidth="1"/>
    <col min="5" max="5" width="11.109375" customWidth="1"/>
    <col min="9" max="9" width="5.6640625" customWidth="1"/>
    <col min="258" max="258" width="9.6640625" customWidth="1"/>
    <col min="261" max="261" width="11.109375" customWidth="1"/>
    <col min="265" max="265" width="5.6640625" customWidth="1"/>
    <col min="514" max="514" width="9.6640625" customWidth="1"/>
    <col min="517" max="517" width="11.109375" customWidth="1"/>
    <col min="521" max="521" width="5.6640625" customWidth="1"/>
    <col min="770" max="770" width="9.6640625" customWidth="1"/>
    <col min="773" max="773" width="11.109375" customWidth="1"/>
    <col min="777" max="777" width="5.6640625" customWidth="1"/>
    <col min="1026" max="1026" width="9.6640625" customWidth="1"/>
    <col min="1029" max="1029" width="11.109375" customWidth="1"/>
    <col min="1033" max="1033" width="5.6640625" customWidth="1"/>
    <col min="1282" max="1282" width="9.6640625" customWidth="1"/>
    <col min="1285" max="1285" width="11.109375" customWidth="1"/>
    <col min="1289" max="1289" width="5.6640625" customWidth="1"/>
    <col min="1538" max="1538" width="9.6640625" customWidth="1"/>
    <col min="1541" max="1541" width="11.109375" customWidth="1"/>
    <col min="1545" max="1545" width="5.6640625" customWidth="1"/>
    <col min="1794" max="1794" width="9.6640625" customWidth="1"/>
    <col min="1797" max="1797" width="11.109375" customWidth="1"/>
    <col min="1801" max="1801" width="5.6640625" customWidth="1"/>
    <col min="2050" max="2050" width="9.6640625" customWidth="1"/>
    <col min="2053" max="2053" width="11.109375" customWidth="1"/>
    <col min="2057" max="2057" width="5.6640625" customWidth="1"/>
    <col min="2306" max="2306" width="9.6640625" customWidth="1"/>
    <col min="2309" max="2309" width="11.109375" customWidth="1"/>
    <col min="2313" max="2313" width="5.6640625" customWidth="1"/>
    <col min="2562" max="2562" width="9.6640625" customWidth="1"/>
    <col min="2565" max="2565" width="11.109375" customWidth="1"/>
    <col min="2569" max="2569" width="5.6640625" customWidth="1"/>
    <col min="2818" max="2818" width="9.6640625" customWidth="1"/>
    <col min="2821" max="2821" width="11.109375" customWidth="1"/>
    <col min="2825" max="2825" width="5.6640625" customWidth="1"/>
    <col min="3074" max="3074" width="9.6640625" customWidth="1"/>
    <col min="3077" max="3077" width="11.109375" customWidth="1"/>
    <col min="3081" max="3081" width="5.6640625" customWidth="1"/>
    <col min="3330" max="3330" width="9.6640625" customWidth="1"/>
    <col min="3333" max="3333" width="11.109375" customWidth="1"/>
    <col min="3337" max="3337" width="5.6640625" customWidth="1"/>
    <col min="3586" max="3586" width="9.6640625" customWidth="1"/>
    <col min="3589" max="3589" width="11.109375" customWidth="1"/>
    <col min="3593" max="3593" width="5.6640625" customWidth="1"/>
    <col min="3842" max="3842" width="9.6640625" customWidth="1"/>
    <col min="3845" max="3845" width="11.109375" customWidth="1"/>
    <col min="3849" max="3849" width="5.6640625" customWidth="1"/>
    <col min="4098" max="4098" width="9.6640625" customWidth="1"/>
    <col min="4101" max="4101" width="11.109375" customWidth="1"/>
    <col min="4105" max="4105" width="5.6640625" customWidth="1"/>
    <col min="4354" max="4354" width="9.6640625" customWidth="1"/>
    <col min="4357" max="4357" width="11.109375" customWidth="1"/>
    <col min="4361" max="4361" width="5.6640625" customWidth="1"/>
    <col min="4610" max="4610" width="9.6640625" customWidth="1"/>
    <col min="4613" max="4613" width="11.109375" customWidth="1"/>
    <col min="4617" max="4617" width="5.6640625" customWidth="1"/>
    <col min="4866" max="4866" width="9.6640625" customWidth="1"/>
    <col min="4869" max="4869" width="11.109375" customWidth="1"/>
    <col min="4873" max="4873" width="5.6640625" customWidth="1"/>
    <col min="5122" max="5122" width="9.6640625" customWidth="1"/>
    <col min="5125" max="5125" width="11.109375" customWidth="1"/>
    <col min="5129" max="5129" width="5.6640625" customWidth="1"/>
    <col min="5378" max="5378" width="9.6640625" customWidth="1"/>
    <col min="5381" max="5381" width="11.109375" customWidth="1"/>
    <col min="5385" max="5385" width="5.6640625" customWidth="1"/>
    <col min="5634" max="5634" width="9.6640625" customWidth="1"/>
    <col min="5637" max="5637" width="11.109375" customWidth="1"/>
    <col min="5641" max="5641" width="5.6640625" customWidth="1"/>
    <col min="5890" max="5890" width="9.6640625" customWidth="1"/>
    <col min="5893" max="5893" width="11.109375" customWidth="1"/>
    <col min="5897" max="5897" width="5.6640625" customWidth="1"/>
    <col min="6146" max="6146" width="9.6640625" customWidth="1"/>
    <col min="6149" max="6149" width="11.109375" customWidth="1"/>
    <col min="6153" max="6153" width="5.6640625" customWidth="1"/>
    <col min="6402" max="6402" width="9.6640625" customWidth="1"/>
    <col min="6405" max="6405" width="11.109375" customWidth="1"/>
    <col min="6409" max="6409" width="5.6640625" customWidth="1"/>
    <col min="6658" max="6658" width="9.6640625" customWidth="1"/>
    <col min="6661" max="6661" width="11.109375" customWidth="1"/>
    <col min="6665" max="6665" width="5.6640625" customWidth="1"/>
    <col min="6914" max="6914" width="9.6640625" customWidth="1"/>
    <col min="6917" max="6917" width="11.109375" customWidth="1"/>
    <col min="6921" max="6921" width="5.6640625" customWidth="1"/>
    <col min="7170" max="7170" width="9.6640625" customWidth="1"/>
    <col min="7173" max="7173" width="11.109375" customWidth="1"/>
    <col min="7177" max="7177" width="5.6640625" customWidth="1"/>
    <col min="7426" max="7426" width="9.6640625" customWidth="1"/>
    <col min="7429" max="7429" width="11.109375" customWidth="1"/>
    <col min="7433" max="7433" width="5.6640625" customWidth="1"/>
    <col min="7682" max="7682" width="9.6640625" customWidth="1"/>
    <col min="7685" max="7685" width="11.109375" customWidth="1"/>
    <col min="7689" max="7689" width="5.6640625" customWidth="1"/>
    <col min="7938" max="7938" width="9.6640625" customWidth="1"/>
    <col min="7941" max="7941" width="11.109375" customWidth="1"/>
    <col min="7945" max="7945" width="5.6640625" customWidth="1"/>
    <col min="8194" max="8194" width="9.6640625" customWidth="1"/>
    <col min="8197" max="8197" width="11.109375" customWidth="1"/>
    <col min="8201" max="8201" width="5.6640625" customWidth="1"/>
    <col min="8450" max="8450" width="9.6640625" customWidth="1"/>
    <col min="8453" max="8453" width="11.109375" customWidth="1"/>
    <col min="8457" max="8457" width="5.6640625" customWidth="1"/>
    <col min="8706" max="8706" width="9.6640625" customWidth="1"/>
    <col min="8709" max="8709" width="11.109375" customWidth="1"/>
    <col min="8713" max="8713" width="5.6640625" customWidth="1"/>
    <col min="8962" max="8962" width="9.6640625" customWidth="1"/>
    <col min="8965" max="8965" width="11.109375" customWidth="1"/>
    <col min="8969" max="8969" width="5.6640625" customWidth="1"/>
    <col min="9218" max="9218" width="9.6640625" customWidth="1"/>
    <col min="9221" max="9221" width="11.109375" customWidth="1"/>
    <col min="9225" max="9225" width="5.6640625" customWidth="1"/>
    <col min="9474" max="9474" width="9.6640625" customWidth="1"/>
    <col min="9477" max="9477" width="11.109375" customWidth="1"/>
    <col min="9481" max="9481" width="5.6640625" customWidth="1"/>
    <col min="9730" max="9730" width="9.6640625" customWidth="1"/>
    <col min="9733" max="9733" width="11.109375" customWidth="1"/>
    <col min="9737" max="9737" width="5.6640625" customWidth="1"/>
    <col min="9986" max="9986" width="9.6640625" customWidth="1"/>
    <col min="9989" max="9989" width="11.109375" customWidth="1"/>
    <col min="9993" max="9993" width="5.6640625" customWidth="1"/>
    <col min="10242" max="10242" width="9.6640625" customWidth="1"/>
    <col min="10245" max="10245" width="11.109375" customWidth="1"/>
    <col min="10249" max="10249" width="5.6640625" customWidth="1"/>
    <col min="10498" max="10498" width="9.6640625" customWidth="1"/>
    <col min="10501" max="10501" width="11.109375" customWidth="1"/>
    <col min="10505" max="10505" width="5.6640625" customWidth="1"/>
    <col min="10754" max="10754" width="9.6640625" customWidth="1"/>
    <col min="10757" max="10757" width="11.109375" customWidth="1"/>
    <col min="10761" max="10761" width="5.6640625" customWidth="1"/>
    <col min="11010" max="11010" width="9.6640625" customWidth="1"/>
    <col min="11013" max="11013" width="11.109375" customWidth="1"/>
    <col min="11017" max="11017" width="5.6640625" customWidth="1"/>
    <col min="11266" max="11266" width="9.6640625" customWidth="1"/>
    <col min="11269" max="11269" width="11.109375" customWidth="1"/>
    <col min="11273" max="11273" width="5.6640625" customWidth="1"/>
    <col min="11522" max="11522" width="9.6640625" customWidth="1"/>
    <col min="11525" max="11525" width="11.109375" customWidth="1"/>
    <col min="11529" max="11529" width="5.6640625" customWidth="1"/>
    <col min="11778" max="11778" width="9.6640625" customWidth="1"/>
    <col min="11781" max="11781" width="11.109375" customWidth="1"/>
    <col min="11785" max="11785" width="5.6640625" customWidth="1"/>
    <col min="12034" max="12034" width="9.6640625" customWidth="1"/>
    <col min="12037" max="12037" width="11.109375" customWidth="1"/>
    <col min="12041" max="12041" width="5.6640625" customWidth="1"/>
    <col min="12290" max="12290" width="9.6640625" customWidth="1"/>
    <col min="12293" max="12293" width="11.109375" customWidth="1"/>
    <col min="12297" max="12297" width="5.6640625" customWidth="1"/>
    <col min="12546" max="12546" width="9.6640625" customWidth="1"/>
    <col min="12549" max="12549" width="11.109375" customWidth="1"/>
    <col min="12553" max="12553" width="5.6640625" customWidth="1"/>
    <col min="12802" max="12802" width="9.6640625" customWidth="1"/>
    <col min="12805" max="12805" width="11.109375" customWidth="1"/>
    <col min="12809" max="12809" width="5.6640625" customWidth="1"/>
    <col min="13058" max="13058" width="9.6640625" customWidth="1"/>
    <col min="13061" max="13061" width="11.109375" customWidth="1"/>
    <col min="13065" max="13065" width="5.6640625" customWidth="1"/>
    <col min="13314" max="13314" width="9.6640625" customWidth="1"/>
    <col min="13317" max="13317" width="11.109375" customWidth="1"/>
    <col min="13321" max="13321" width="5.6640625" customWidth="1"/>
    <col min="13570" max="13570" width="9.6640625" customWidth="1"/>
    <col min="13573" max="13573" width="11.109375" customWidth="1"/>
    <col min="13577" max="13577" width="5.6640625" customWidth="1"/>
    <col min="13826" max="13826" width="9.6640625" customWidth="1"/>
    <col min="13829" max="13829" width="11.109375" customWidth="1"/>
    <col min="13833" max="13833" width="5.6640625" customWidth="1"/>
    <col min="14082" max="14082" width="9.6640625" customWidth="1"/>
    <col min="14085" max="14085" width="11.109375" customWidth="1"/>
    <col min="14089" max="14089" width="5.6640625" customWidth="1"/>
    <col min="14338" max="14338" width="9.6640625" customWidth="1"/>
    <col min="14341" max="14341" width="11.109375" customWidth="1"/>
    <col min="14345" max="14345" width="5.6640625" customWidth="1"/>
    <col min="14594" max="14594" width="9.6640625" customWidth="1"/>
    <col min="14597" max="14597" width="11.109375" customWidth="1"/>
    <col min="14601" max="14601" width="5.6640625" customWidth="1"/>
    <col min="14850" max="14850" width="9.6640625" customWidth="1"/>
    <col min="14853" max="14853" width="11.109375" customWidth="1"/>
    <col min="14857" max="14857" width="5.6640625" customWidth="1"/>
    <col min="15106" max="15106" width="9.6640625" customWidth="1"/>
    <col min="15109" max="15109" width="11.109375" customWidth="1"/>
    <col min="15113" max="15113" width="5.6640625" customWidth="1"/>
    <col min="15362" max="15362" width="9.6640625" customWidth="1"/>
    <col min="15365" max="15365" width="11.109375" customWidth="1"/>
    <col min="15369" max="15369" width="5.6640625" customWidth="1"/>
    <col min="15618" max="15618" width="9.6640625" customWidth="1"/>
    <col min="15621" max="15621" width="11.109375" customWidth="1"/>
    <col min="15625" max="15625" width="5.6640625" customWidth="1"/>
    <col min="15874" max="15874" width="9.6640625" customWidth="1"/>
    <col min="15877" max="15877" width="11.109375" customWidth="1"/>
    <col min="15881" max="15881" width="5.6640625" customWidth="1"/>
    <col min="16130" max="16130" width="9.6640625" customWidth="1"/>
    <col min="16133" max="16133" width="11.109375" customWidth="1"/>
    <col min="16137" max="16137" width="5.6640625" customWidth="1"/>
  </cols>
  <sheetData>
    <row r="1" spans="1:9" ht="17.399999999999999">
      <c r="D1" s="43" t="str">
        <f>[1]step1!D1</f>
        <v>After tax analysis - single alternative</v>
      </c>
    </row>
    <row r="2" spans="1:9" ht="17.399999999999999">
      <c r="D2" s="43" t="str">
        <f>[1]step1!D2</f>
        <v>Quality improvement problems</v>
      </c>
    </row>
    <row r="4" spans="1:9">
      <c r="B4" s="44" t="str">
        <f>[1]step1!B4</f>
        <v>The Board of Work lumber mill is considering a vision system to spot and remove</v>
      </c>
      <c r="C4" s="45"/>
      <c r="D4" s="45"/>
      <c r="E4" s="45"/>
      <c r="F4" s="45"/>
      <c r="G4" s="45"/>
      <c r="H4" s="45"/>
      <c r="I4" s="46"/>
    </row>
    <row r="5" spans="1:9">
      <c r="B5" s="47" t="str">
        <f>[1]step1!B5</f>
        <v>defects in incoming wood.  Purchase and installation of the system costs $70000.</v>
      </c>
      <c r="C5" s="48"/>
      <c r="D5" s="48"/>
      <c r="E5" s="48"/>
      <c r="F5" s="48"/>
      <c r="G5" s="48"/>
      <c r="H5" s="49"/>
      <c r="I5" s="50"/>
    </row>
    <row r="6" spans="1:9">
      <c r="B6" s="47" t="str">
        <f>[1]step1!B6</f>
        <v>Annual savings due to improved quality and material utilization are $55000 per year.</v>
      </c>
      <c r="C6" s="48"/>
      <c r="D6" s="48"/>
      <c r="E6" s="48"/>
      <c r="F6" s="48"/>
      <c r="G6" s="48"/>
      <c r="H6" s="48"/>
      <c r="I6" s="50"/>
    </row>
    <row r="7" spans="1:9">
      <c r="B7" s="47" t="str">
        <f>[1]step1!B7</f>
        <v>The system will be MACRS depreciated using a 7 year recovery period.  Annual</v>
      </c>
      <c r="C7" s="48"/>
      <c r="D7" s="48"/>
      <c r="E7" s="48"/>
      <c r="F7" s="48"/>
      <c r="G7" s="48"/>
      <c r="H7" s="48"/>
      <c r="I7" s="50"/>
    </row>
    <row r="8" spans="1:9">
      <c r="B8" s="47" t="str">
        <f>[1]step1!B8</f>
        <v>maintenance expenses will be $35000.  The system will be scrapped in year 10 for</v>
      </c>
      <c r="C8" s="48"/>
      <c r="D8" s="48"/>
      <c r="E8" s="48"/>
      <c r="F8" s="48"/>
      <c r="G8" s="48"/>
      <c r="H8" s="48"/>
      <c r="I8" s="50"/>
    </row>
    <row r="9" spans="1:9">
      <c r="B9" s="47" t="str">
        <f>[1]step1!B9</f>
        <v>$10000.  The effective tax rate is 40% per year and the MARR is 22%.  Use</v>
      </c>
      <c r="C9" s="48"/>
      <c r="D9" s="48"/>
      <c r="E9" s="48"/>
      <c r="F9" s="48"/>
      <c r="G9" s="48"/>
      <c r="H9" s="48"/>
      <c r="I9" s="50"/>
    </row>
    <row r="10" spans="1:9">
      <c r="B10" s="51" t="str">
        <f>[1]step1!B10</f>
        <v>rate-of-return analysis to determine if the company should invest in the laser system.</v>
      </c>
      <c r="C10" s="52"/>
      <c r="D10" s="52"/>
      <c r="E10" s="52"/>
      <c r="F10" s="53"/>
      <c r="G10" s="52"/>
      <c r="H10" s="52"/>
      <c r="I10" s="54"/>
    </row>
    <row r="12" spans="1:9" ht="15.6">
      <c r="A12" s="55" t="s">
        <v>97</v>
      </c>
      <c r="B12" s="56"/>
      <c r="C12" s="57"/>
      <c r="D12" s="57"/>
      <c r="E12" s="57"/>
      <c r="F12" s="57"/>
      <c r="G12" s="57"/>
      <c r="H12" s="57"/>
      <c r="I12" s="58"/>
    </row>
    <row r="13" spans="1:9" ht="15.6">
      <c r="A13" s="59"/>
      <c r="B13" s="60" t="s">
        <v>98</v>
      </c>
      <c r="I13" s="61"/>
    </row>
    <row r="14" spans="1:9">
      <c r="A14" s="62"/>
      <c r="B14" s="63"/>
      <c r="C14" s="63"/>
      <c r="D14" s="63"/>
      <c r="E14" s="63"/>
      <c r="F14" s="63"/>
      <c r="G14" s="63"/>
      <c r="H14" s="63"/>
      <c r="I14" s="64"/>
    </row>
    <row r="16" spans="1:9">
      <c r="G16" s="65"/>
    </row>
    <row r="19" spans="1:12" ht="28.8">
      <c r="A19" s="66" t="s">
        <v>99</v>
      </c>
      <c r="B19" s="67" t="s">
        <v>100</v>
      </c>
      <c r="C19" s="67" t="s">
        <v>101</v>
      </c>
      <c r="D19" s="67" t="s">
        <v>102</v>
      </c>
      <c r="E19" s="67" t="s">
        <v>103</v>
      </c>
      <c r="F19" s="67" t="s">
        <v>104</v>
      </c>
      <c r="G19" s="67" t="s">
        <v>105</v>
      </c>
      <c r="H19" s="67" t="s">
        <v>106</v>
      </c>
      <c r="I19" s="67"/>
      <c r="J19" s="67" t="s">
        <v>107</v>
      </c>
      <c r="K19" s="67" t="s">
        <v>108</v>
      </c>
      <c r="L19" s="68" t="s">
        <v>109</v>
      </c>
    </row>
    <row r="20" spans="1:12">
      <c r="A20" s="69">
        <v>0</v>
      </c>
      <c r="B20" s="70"/>
      <c r="C20" s="70"/>
      <c r="E20" s="70"/>
      <c r="F20" s="70"/>
      <c r="G20" s="70">
        <f t="shared" ref="G20:G25" si="0">B20-C20-E20+F20</f>
        <v>0</v>
      </c>
      <c r="H20" s="70">
        <f t="shared" ref="H20:H30" si="1">$F$34*G20</f>
        <v>0</v>
      </c>
      <c r="I20" s="70"/>
      <c r="J20" s="70">
        <f>[1]step1!L4</f>
        <v>70000</v>
      </c>
      <c r="K20" s="70"/>
      <c r="L20" s="71">
        <f t="shared" ref="L20:L29" si="2">B20-C20-H20-J20+K20</f>
        <v>-70000</v>
      </c>
    </row>
    <row r="21" spans="1:12">
      <c r="A21" s="69">
        <v>1</v>
      </c>
      <c r="B21" s="70">
        <f>[1]step1!$L$1</f>
        <v>55000</v>
      </c>
      <c r="C21" s="70">
        <f>[1]step1!$L$3</f>
        <v>35000</v>
      </c>
      <c r="D21" s="72">
        <v>0.1429</v>
      </c>
      <c r="E21" s="70">
        <f t="shared" ref="E21:E30" si="3">$J$20*D21</f>
        <v>10003</v>
      </c>
      <c r="F21" s="70"/>
      <c r="G21" s="70">
        <f t="shared" si="0"/>
        <v>9997</v>
      </c>
      <c r="H21" s="70">
        <f t="shared" si="1"/>
        <v>3998.8</v>
      </c>
      <c r="I21" s="70"/>
      <c r="J21" s="70"/>
      <c r="K21" s="70"/>
      <c r="L21" s="71">
        <f t="shared" si="2"/>
        <v>16001.2</v>
      </c>
    </row>
    <row r="22" spans="1:12">
      <c r="A22" s="69">
        <v>2</v>
      </c>
      <c r="B22" s="70">
        <f>[1]step1!$L$1</f>
        <v>55000</v>
      </c>
      <c r="C22" s="70">
        <f>[1]step1!$L$3</f>
        <v>35000</v>
      </c>
      <c r="D22" s="72">
        <v>0.24490000000000001</v>
      </c>
      <c r="E22" s="70">
        <f t="shared" si="3"/>
        <v>17143</v>
      </c>
      <c r="F22" s="70"/>
      <c r="G22" s="70">
        <f t="shared" si="0"/>
        <v>2857</v>
      </c>
      <c r="H22" s="70">
        <f t="shared" si="1"/>
        <v>1142.8</v>
      </c>
      <c r="I22" s="70"/>
      <c r="J22" s="70"/>
      <c r="K22" s="70"/>
      <c r="L22" s="71">
        <f t="shared" si="2"/>
        <v>18857.2</v>
      </c>
    </row>
    <row r="23" spans="1:12">
      <c r="A23" s="69">
        <v>3</v>
      </c>
      <c r="B23" s="70">
        <f>[1]step1!$L$1</f>
        <v>55000</v>
      </c>
      <c r="C23" s="70">
        <f>[1]step1!$L$3</f>
        <v>35000</v>
      </c>
      <c r="D23" s="72">
        <v>0.1749</v>
      </c>
      <c r="E23" s="70">
        <f t="shared" si="3"/>
        <v>12243</v>
      </c>
      <c r="F23" s="70"/>
      <c r="G23" s="70">
        <f t="shared" si="0"/>
        <v>7757</v>
      </c>
      <c r="H23" s="70">
        <f t="shared" si="1"/>
        <v>3102.8</v>
      </c>
      <c r="I23" s="70"/>
      <c r="J23" s="70"/>
      <c r="K23" s="70"/>
      <c r="L23" s="71">
        <f t="shared" si="2"/>
        <v>16897.2</v>
      </c>
    </row>
    <row r="24" spans="1:12">
      <c r="A24" s="69">
        <v>4</v>
      </c>
      <c r="B24" s="70">
        <f>[1]step1!$L$1</f>
        <v>55000</v>
      </c>
      <c r="C24" s="70">
        <f>[1]step1!$L$3</f>
        <v>35000</v>
      </c>
      <c r="D24" s="72">
        <v>0.1249</v>
      </c>
      <c r="E24" s="70">
        <f t="shared" si="3"/>
        <v>8743</v>
      </c>
      <c r="F24" s="70"/>
      <c r="G24" s="70">
        <f t="shared" si="0"/>
        <v>11257</v>
      </c>
      <c r="H24" s="70">
        <f t="shared" si="1"/>
        <v>4502.8</v>
      </c>
      <c r="I24" s="70"/>
      <c r="J24" s="70"/>
      <c r="K24" s="70"/>
      <c r="L24" s="71">
        <f t="shared" si="2"/>
        <v>15497.2</v>
      </c>
    </row>
    <row r="25" spans="1:12">
      <c r="A25" s="69">
        <v>5</v>
      </c>
      <c r="B25" s="70">
        <f>[1]step1!$L$1</f>
        <v>55000</v>
      </c>
      <c r="C25" s="70">
        <f>[1]step1!$L$3</f>
        <v>35000</v>
      </c>
      <c r="D25" s="72">
        <v>8.9300000000000004E-2</v>
      </c>
      <c r="E25" s="70">
        <f t="shared" si="3"/>
        <v>6251</v>
      </c>
      <c r="F25" s="70"/>
      <c r="G25" s="70">
        <f t="shared" si="0"/>
        <v>13749</v>
      </c>
      <c r="H25" s="70">
        <f t="shared" si="1"/>
        <v>5499.6</v>
      </c>
      <c r="I25" s="70"/>
      <c r="J25" s="70"/>
      <c r="K25" s="70"/>
      <c r="L25" s="71">
        <f t="shared" si="2"/>
        <v>14500.4</v>
      </c>
    </row>
    <row r="26" spans="1:12">
      <c r="A26" s="69">
        <v>6</v>
      </c>
      <c r="B26" s="70">
        <f>[1]step1!$L$1</f>
        <v>55000</v>
      </c>
      <c r="C26" s="70">
        <f>[1]step1!$L$3</f>
        <v>35000</v>
      </c>
      <c r="D26" s="73">
        <v>8.9200000000000002E-2</v>
      </c>
      <c r="E26" s="70">
        <f t="shared" si="3"/>
        <v>6244</v>
      </c>
      <c r="G26" s="70">
        <f>B26-C26-E26+F26</f>
        <v>13756</v>
      </c>
      <c r="H26" s="70">
        <f t="shared" si="1"/>
        <v>5502.4000000000005</v>
      </c>
      <c r="L26" s="71">
        <f t="shared" si="2"/>
        <v>14497.599999999999</v>
      </c>
    </row>
    <row r="27" spans="1:12">
      <c r="A27" s="69">
        <v>7</v>
      </c>
      <c r="B27" s="70">
        <f>[1]step1!$L$1</f>
        <v>55000</v>
      </c>
      <c r="C27" s="70">
        <f>[1]step1!$L$3</f>
        <v>35000</v>
      </c>
      <c r="D27" s="73">
        <v>8.9300000000000004E-2</v>
      </c>
      <c r="E27" s="70">
        <f t="shared" si="3"/>
        <v>6251</v>
      </c>
      <c r="G27" s="70">
        <f>B27-C27-E27+F27</f>
        <v>13749</v>
      </c>
      <c r="H27" s="70">
        <f t="shared" si="1"/>
        <v>5499.6</v>
      </c>
      <c r="L27" s="71">
        <f t="shared" si="2"/>
        <v>14500.4</v>
      </c>
    </row>
    <row r="28" spans="1:12">
      <c r="A28" s="69">
        <v>8</v>
      </c>
      <c r="B28" s="70">
        <f>[1]step1!$L$1</f>
        <v>55000</v>
      </c>
      <c r="C28" s="70">
        <f>[1]step1!$L$3</f>
        <v>35000</v>
      </c>
      <c r="D28" s="73">
        <v>4.4600000000000001E-2</v>
      </c>
      <c r="E28" s="70">
        <f t="shared" si="3"/>
        <v>3122</v>
      </c>
      <c r="G28" s="70">
        <f>B28-C28-E28+F28</f>
        <v>16878</v>
      </c>
      <c r="H28" s="70">
        <f t="shared" si="1"/>
        <v>6751.2000000000007</v>
      </c>
      <c r="L28" s="71">
        <f t="shared" si="2"/>
        <v>13248.8</v>
      </c>
    </row>
    <row r="29" spans="1:12">
      <c r="A29" s="69">
        <v>9</v>
      </c>
      <c r="B29" s="70">
        <f>[1]step1!$L$1</f>
        <v>55000</v>
      </c>
      <c r="C29" s="70">
        <f>[1]step1!$L$3</f>
        <v>35000</v>
      </c>
      <c r="D29" s="73">
        <v>0</v>
      </c>
      <c r="E29" s="70">
        <f t="shared" si="3"/>
        <v>0</v>
      </c>
      <c r="G29" s="70">
        <f>B29-C29-E29+F29</f>
        <v>20000</v>
      </c>
      <c r="H29" s="70">
        <f t="shared" si="1"/>
        <v>8000</v>
      </c>
      <c r="L29" s="71">
        <f t="shared" si="2"/>
        <v>12000</v>
      </c>
    </row>
    <row r="30" spans="1:12">
      <c r="A30" s="69">
        <v>10</v>
      </c>
      <c r="B30" s="70">
        <f>[1]step1!$L$1</f>
        <v>55000</v>
      </c>
      <c r="C30" s="70">
        <f>[1]step1!$L$3</f>
        <v>35000</v>
      </c>
      <c r="D30" s="72">
        <v>0</v>
      </c>
      <c r="E30" s="70">
        <f t="shared" si="3"/>
        <v>0</v>
      </c>
      <c r="F30" s="70">
        <f>[1]step1!L5</f>
        <v>10000</v>
      </c>
      <c r="G30" s="70">
        <f>B30-C30-E30+F30</f>
        <v>30000</v>
      </c>
      <c r="H30" s="70">
        <f t="shared" si="1"/>
        <v>12000</v>
      </c>
      <c r="I30" s="70"/>
      <c r="J30" s="70"/>
      <c r="K30" s="70">
        <f>[1]step1!L5</f>
        <v>10000</v>
      </c>
      <c r="L30" s="71">
        <f>B30-C30-H30-J30+K30</f>
        <v>18000</v>
      </c>
    </row>
    <row r="31" spans="1:12">
      <c r="A31" s="62"/>
      <c r="B31" s="63"/>
      <c r="C31" s="63"/>
      <c r="D31" s="63"/>
      <c r="E31" s="63"/>
      <c r="F31" s="63"/>
      <c r="G31" s="63"/>
      <c r="H31" s="63"/>
      <c r="I31" s="63"/>
      <c r="J31" s="63"/>
      <c r="K31" s="63"/>
      <c r="L31" s="64"/>
    </row>
    <row r="32" spans="1:12">
      <c r="C32" s="74"/>
      <c r="L32" s="75" t="s">
        <v>110</v>
      </c>
    </row>
    <row r="33" spans="2:10">
      <c r="C33" s="74"/>
      <c r="G33" s="76"/>
      <c r="H33" s="77"/>
    </row>
    <row r="34" spans="2:10">
      <c r="C34" s="74"/>
      <c r="D34" s="78" t="s">
        <v>111</v>
      </c>
      <c r="E34" s="57"/>
      <c r="F34" s="79">
        <f>[1]step1!L8</f>
        <v>0.4</v>
      </c>
    </row>
    <row r="35" spans="2:10">
      <c r="C35" s="74"/>
      <c r="D35" s="62" t="s">
        <v>112</v>
      </c>
      <c r="E35" s="63"/>
      <c r="F35" s="80">
        <f>[1]step1!L10</f>
        <v>0.22</v>
      </c>
    </row>
    <row r="36" spans="2:10">
      <c r="C36" s="74"/>
    </row>
    <row r="37" spans="2:10">
      <c r="C37" s="74"/>
      <c r="D37" s="78" t="s">
        <v>113</v>
      </c>
      <c r="E37" s="57"/>
      <c r="F37" s="81">
        <f>IRR([1]final!$L$20:'[1]final'!$L$30)</f>
        <v>0.18548957257193299</v>
      </c>
      <c r="G37" s="57"/>
      <c r="H37" s="57" t="s">
        <v>114</v>
      </c>
      <c r="I37" s="57"/>
      <c r="J37" s="82" t="s">
        <v>115</v>
      </c>
    </row>
    <row r="38" spans="2:10">
      <c r="C38" s="74"/>
      <c r="D38" s="62"/>
      <c r="E38" s="63"/>
      <c r="F38" s="83" t="s">
        <v>116</v>
      </c>
      <c r="G38" s="63"/>
      <c r="H38" s="63"/>
      <c r="I38" s="63"/>
      <c r="J38" s="64"/>
    </row>
    <row r="39" spans="2:10">
      <c r="C39" s="74"/>
    </row>
    <row r="40" spans="2:10">
      <c r="C40" s="74"/>
    </row>
    <row r="41" spans="2:10" ht="17.399999999999999">
      <c r="B41" s="25" t="s">
        <v>117</v>
      </c>
      <c r="C41" s="74"/>
    </row>
    <row r="42" spans="2:10">
      <c r="C42" s="74"/>
    </row>
    <row r="43" spans="2:10">
      <c r="D43" s="76"/>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03A40-380F-43ED-B67E-F8F70FB857AE}">
  <dimension ref="A1:L43"/>
  <sheetViews>
    <sheetView workbookViewId="0">
      <selection sqref="A1:XFD1048576"/>
    </sheetView>
  </sheetViews>
  <sheetFormatPr defaultRowHeight="14.4"/>
  <cols>
    <col min="6" max="6" width="11.5546875" customWidth="1"/>
    <col min="7" max="7" width="10.6640625" customWidth="1"/>
    <col min="8" max="9" width="5.6640625" customWidth="1"/>
    <col min="262" max="262" width="11.5546875" customWidth="1"/>
    <col min="263" max="263" width="10.6640625" customWidth="1"/>
    <col min="264" max="265" width="5.6640625" customWidth="1"/>
    <col min="518" max="518" width="11.5546875" customWidth="1"/>
    <col min="519" max="519" width="10.6640625" customWidth="1"/>
    <col min="520" max="521" width="5.6640625" customWidth="1"/>
    <col min="774" max="774" width="11.5546875" customWidth="1"/>
    <col min="775" max="775" width="10.6640625" customWidth="1"/>
    <col min="776" max="777" width="5.6640625" customWidth="1"/>
    <col min="1030" max="1030" width="11.5546875" customWidth="1"/>
    <col min="1031" max="1031" width="10.6640625" customWidth="1"/>
    <col min="1032" max="1033" width="5.6640625" customWidth="1"/>
    <col min="1286" max="1286" width="11.5546875" customWidth="1"/>
    <col min="1287" max="1287" width="10.6640625" customWidth="1"/>
    <col min="1288" max="1289" width="5.6640625" customWidth="1"/>
    <col min="1542" max="1542" width="11.5546875" customWidth="1"/>
    <col min="1543" max="1543" width="10.6640625" customWidth="1"/>
    <col min="1544" max="1545" width="5.6640625" customWidth="1"/>
    <col min="1798" max="1798" width="11.5546875" customWidth="1"/>
    <col min="1799" max="1799" width="10.6640625" customWidth="1"/>
    <col min="1800" max="1801" width="5.6640625" customWidth="1"/>
    <col min="2054" max="2054" width="11.5546875" customWidth="1"/>
    <col min="2055" max="2055" width="10.6640625" customWidth="1"/>
    <col min="2056" max="2057" width="5.6640625" customWidth="1"/>
    <col min="2310" max="2310" width="11.5546875" customWidth="1"/>
    <col min="2311" max="2311" width="10.6640625" customWidth="1"/>
    <col min="2312" max="2313" width="5.6640625" customWidth="1"/>
    <col min="2566" max="2566" width="11.5546875" customWidth="1"/>
    <col min="2567" max="2567" width="10.6640625" customWidth="1"/>
    <col min="2568" max="2569" width="5.6640625" customWidth="1"/>
    <col min="2822" max="2822" width="11.5546875" customWidth="1"/>
    <col min="2823" max="2823" width="10.6640625" customWidth="1"/>
    <col min="2824" max="2825" width="5.6640625" customWidth="1"/>
    <col min="3078" max="3078" width="11.5546875" customWidth="1"/>
    <col min="3079" max="3079" width="10.6640625" customWidth="1"/>
    <col min="3080" max="3081" width="5.6640625" customWidth="1"/>
    <col min="3334" max="3334" width="11.5546875" customWidth="1"/>
    <col min="3335" max="3335" width="10.6640625" customWidth="1"/>
    <col min="3336" max="3337" width="5.6640625" customWidth="1"/>
    <col min="3590" max="3590" width="11.5546875" customWidth="1"/>
    <col min="3591" max="3591" width="10.6640625" customWidth="1"/>
    <col min="3592" max="3593" width="5.6640625" customWidth="1"/>
    <col min="3846" max="3846" width="11.5546875" customWidth="1"/>
    <col min="3847" max="3847" width="10.6640625" customWidth="1"/>
    <col min="3848" max="3849" width="5.6640625" customWidth="1"/>
    <col min="4102" max="4102" width="11.5546875" customWidth="1"/>
    <col min="4103" max="4103" width="10.6640625" customWidth="1"/>
    <col min="4104" max="4105" width="5.6640625" customWidth="1"/>
    <col min="4358" max="4358" width="11.5546875" customWidth="1"/>
    <col min="4359" max="4359" width="10.6640625" customWidth="1"/>
    <col min="4360" max="4361" width="5.6640625" customWidth="1"/>
    <col min="4614" max="4614" width="11.5546875" customWidth="1"/>
    <col min="4615" max="4615" width="10.6640625" customWidth="1"/>
    <col min="4616" max="4617" width="5.6640625" customWidth="1"/>
    <col min="4870" max="4870" width="11.5546875" customWidth="1"/>
    <col min="4871" max="4871" width="10.6640625" customWidth="1"/>
    <col min="4872" max="4873" width="5.6640625" customWidth="1"/>
    <col min="5126" max="5126" width="11.5546875" customWidth="1"/>
    <col min="5127" max="5127" width="10.6640625" customWidth="1"/>
    <col min="5128" max="5129" width="5.6640625" customWidth="1"/>
    <col min="5382" max="5382" width="11.5546875" customWidth="1"/>
    <col min="5383" max="5383" width="10.6640625" customWidth="1"/>
    <col min="5384" max="5385" width="5.6640625" customWidth="1"/>
    <col min="5638" max="5638" width="11.5546875" customWidth="1"/>
    <col min="5639" max="5639" width="10.6640625" customWidth="1"/>
    <col min="5640" max="5641" width="5.6640625" customWidth="1"/>
    <col min="5894" max="5894" width="11.5546875" customWidth="1"/>
    <col min="5895" max="5895" width="10.6640625" customWidth="1"/>
    <col min="5896" max="5897" width="5.6640625" customWidth="1"/>
    <col min="6150" max="6150" width="11.5546875" customWidth="1"/>
    <col min="6151" max="6151" width="10.6640625" customWidth="1"/>
    <col min="6152" max="6153" width="5.6640625" customWidth="1"/>
    <col min="6406" max="6406" width="11.5546875" customWidth="1"/>
    <col min="6407" max="6407" width="10.6640625" customWidth="1"/>
    <col min="6408" max="6409" width="5.6640625" customWidth="1"/>
    <col min="6662" max="6662" width="11.5546875" customWidth="1"/>
    <col min="6663" max="6663" width="10.6640625" customWidth="1"/>
    <col min="6664" max="6665" width="5.6640625" customWidth="1"/>
    <col min="6918" max="6918" width="11.5546875" customWidth="1"/>
    <col min="6919" max="6919" width="10.6640625" customWidth="1"/>
    <col min="6920" max="6921" width="5.6640625" customWidth="1"/>
    <col min="7174" max="7174" width="11.5546875" customWidth="1"/>
    <col min="7175" max="7175" width="10.6640625" customWidth="1"/>
    <col min="7176" max="7177" width="5.6640625" customWidth="1"/>
    <col min="7430" max="7430" width="11.5546875" customWidth="1"/>
    <col min="7431" max="7431" width="10.6640625" customWidth="1"/>
    <col min="7432" max="7433" width="5.6640625" customWidth="1"/>
    <col min="7686" max="7686" width="11.5546875" customWidth="1"/>
    <col min="7687" max="7687" width="10.6640625" customWidth="1"/>
    <col min="7688" max="7689" width="5.6640625" customWidth="1"/>
    <col min="7942" max="7942" width="11.5546875" customWidth="1"/>
    <col min="7943" max="7943" width="10.6640625" customWidth="1"/>
    <col min="7944" max="7945" width="5.6640625" customWidth="1"/>
    <col min="8198" max="8198" width="11.5546875" customWidth="1"/>
    <col min="8199" max="8199" width="10.6640625" customWidth="1"/>
    <col min="8200" max="8201" width="5.6640625" customWidth="1"/>
    <col min="8454" max="8454" width="11.5546875" customWidth="1"/>
    <col min="8455" max="8455" width="10.6640625" customWidth="1"/>
    <col min="8456" max="8457" width="5.6640625" customWidth="1"/>
    <col min="8710" max="8710" width="11.5546875" customWidth="1"/>
    <col min="8711" max="8711" width="10.6640625" customWidth="1"/>
    <col min="8712" max="8713" width="5.6640625" customWidth="1"/>
    <col min="8966" max="8966" width="11.5546875" customWidth="1"/>
    <col min="8967" max="8967" width="10.6640625" customWidth="1"/>
    <col min="8968" max="8969" width="5.6640625" customWidth="1"/>
    <col min="9222" max="9222" width="11.5546875" customWidth="1"/>
    <col min="9223" max="9223" width="10.6640625" customWidth="1"/>
    <col min="9224" max="9225" width="5.6640625" customWidth="1"/>
    <col min="9478" max="9478" width="11.5546875" customWidth="1"/>
    <col min="9479" max="9479" width="10.6640625" customWidth="1"/>
    <col min="9480" max="9481" width="5.6640625" customWidth="1"/>
    <col min="9734" max="9734" width="11.5546875" customWidth="1"/>
    <col min="9735" max="9735" width="10.6640625" customWidth="1"/>
    <col min="9736" max="9737" width="5.6640625" customWidth="1"/>
    <col min="9990" max="9990" width="11.5546875" customWidth="1"/>
    <col min="9991" max="9991" width="10.6640625" customWidth="1"/>
    <col min="9992" max="9993" width="5.6640625" customWidth="1"/>
    <col min="10246" max="10246" width="11.5546875" customWidth="1"/>
    <col min="10247" max="10247" width="10.6640625" customWidth="1"/>
    <col min="10248" max="10249" width="5.6640625" customWidth="1"/>
    <col min="10502" max="10502" width="11.5546875" customWidth="1"/>
    <col min="10503" max="10503" width="10.6640625" customWidth="1"/>
    <col min="10504" max="10505" width="5.6640625" customWidth="1"/>
    <col min="10758" max="10758" width="11.5546875" customWidth="1"/>
    <col min="10759" max="10759" width="10.6640625" customWidth="1"/>
    <col min="10760" max="10761" width="5.6640625" customWidth="1"/>
    <col min="11014" max="11014" width="11.5546875" customWidth="1"/>
    <col min="11015" max="11015" width="10.6640625" customWidth="1"/>
    <col min="11016" max="11017" width="5.6640625" customWidth="1"/>
    <col min="11270" max="11270" width="11.5546875" customWidth="1"/>
    <col min="11271" max="11271" width="10.6640625" customWidth="1"/>
    <col min="11272" max="11273" width="5.6640625" customWidth="1"/>
    <col min="11526" max="11526" width="11.5546875" customWidth="1"/>
    <col min="11527" max="11527" width="10.6640625" customWidth="1"/>
    <col min="11528" max="11529" width="5.6640625" customWidth="1"/>
    <col min="11782" max="11782" width="11.5546875" customWidth="1"/>
    <col min="11783" max="11783" width="10.6640625" customWidth="1"/>
    <col min="11784" max="11785" width="5.6640625" customWidth="1"/>
    <col min="12038" max="12038" width="11.5546875" customWidth="1"/>
    <col min="12039" max="12039" width="10.6640625" customWidth="1"/>
    <col min="12040" max="12041" width="5.6640625" customWidth="1"/>
    <col min="12294" max="12294" width="11.5546875" customWidth="1"/>
    <col min="12295" max="12295" width="10.6640625" customWidth="1"/>
    <col min="12296" max="12297" width="5.6640625" customWidth="1"/>
    <col min="12550" max="12550" width="11.5546875" customWidth="1"/>
    <col min="12551" max="12551" width="10.6640625" customWidth="1"/>
    <col min="12552" max="12553" width="5.6640625" customWidth="1"/>
    <col min="12806" max="12806" width="11.5546875" customWidth="1"/>
    <col min="12807" max="12807" width="10.6640625" customWidth="1"/>
    <col min="12808" max="12809" width="5.6640625" customWidth="1"/>
    <col min="13062" max="13062" width="11.5546875" customWidth="1"/>
    <col min="13063" max="13063" width="10.6640625" customWidth="1"/>
    <col min="13064" max="13065" width="5.6640625" customWidth="1"/>
    <col min="13318" max="13318" width="11.5546875" customWidth="1"/>
    <col min="13319" max="13319" width="10.6640625" customWidth="1"/>
    <col min="13320" max="13321" width="5.6640625" customWidth="1"/>
    <col min="13574" max="13574" width="11.5546875" customWidth="1"/>
    <col min="13575" max="13575" width="10.6640625" customWidth="1"/>
    <col min="13576" max="13577" width="5.6640625" customWidth="1"/>
    <col min="13830" max="13830" width="11.5546875" customWidth="1"/>
    <col min="13831" max="13831" width="10.6640625" customWidth="1"/>
    <col min="13832" max="13833" width="5.6640625" customWidth="1"/>
    <col min="14086" max="14086" width="11.5546875" customWidth="1"/>
    <col min="14087" max="14087" width="10.6640625" customWidth="1"/>
    <col min="14088" max="14089" width="5.6640625" customWidth="1"/>
    <col min="14342" max="14342" width="11.5546875" customWidth="1"/>
    <col min="14343" max="14343" width="10.6640625" customWidth="1"/>
    <col min="14344" max="14345" width="5.6640625" customWidth="1"/>
    <col min="14598" max="14598" width="11.5546875" customWidth="1"/>
    <col min="14599" max="14599" width="10.6640625" customWidth="1"/>
    <col min="14600" max="14601" width="5.6640625" customWidth="1"/>
    <col min="14854" max="14854" width="11.5546875" customWidth="1"/>
    <col min="14855" max="14855" width="10.6640625" customWidth="1"/>
    <col min="14856" max="14857" width="5.6640625" customWidth="1"/>
    <col min="15110" max="15110" width="11.5546875" customWidth="1"/>
    <col min="15111" max="15111" width="10.6640625" customWidth="1"/>
    <col min="15112" max="15113" width="5.6640625" customWidth="1"/>
    <col min="15366" max="15366" width="11.5546875" customWidth="1"/>
    <col min="15367" max="15367" width="10.6640625" customWidth="1"/>
    <col min="15368" max="15369" width="5.6640625" customWidth="1"/>
    <col min="15622" max="15622" width="11.5546875" customWidth="1"/>
    <col min="15623" max="15623" width="10.6640625" customWidth="1"/>
    <col min="15624" max="15625" width="5.6640625" customWidth="1"/>
    <col min="15878" max="15878" width="11.5546875" customWidth="1"/>
    <col min="15879" max="15879" width="10.6640625" customWidth="1"/>
    <col min="15880" max="15881" width="5.6640625" customWidth="1"/>
    <col min="16134" max="16134" width="11.5546875" customWidth="1"/>
    <col min="16135" max="16135" width="10.6640625" customWidth="1"/>
    <col min="16136" max="16137" width="5.6640625" customWidth="1"/>
  </cols>
  <sheetData>
    <row r="1" spans="1:12" ht="17.399999999999999">
      <c r="D1" s="43" t="str">
        <f>[16]step1!D1</f>
        <v>Use of multiple factors</v>
      </c>
    </row>
    <row r="2" spans="1:12" ht="17.399999999999999">
      <c r="D2" s="43" t="str">
        <f>[16]step1!D2</f>
        <v>Rental property problems</v>
      </c>
    </row>
    <row r="5" spans="1:12">
      <c r="B5" s="44" t="str">
        <f>[16]step1!B5</f>
        <v>J. J. Slumlord owns a series of rental properties near the State U. campus.</v>
      </c>
      <c r="C5" s="45"/>
      <c r="D5" s="45"/>
      <c r="E5" s="45"/>
      <c r="F5" s="45"/>
      <c r="G5" s="45"/>
      <c r="H5" s="45"/>
      <c r="I5" s="46"/>
    </row>
    <row r="6" spans="1:12">
      <c r="B6" s="47" t="str">
        <f>[16]step1!B6</f>
        <v>One old house is anticipated to have a new porch cost of $6000 in 5 years.</v>
      </c>
      <c r="C6" s="48"/>
      <c r="D6" s="48"/>
      <c r="E6" s="48"/>
      <c r="F6" s="48"/>
      <c r="G6" s="48"/>
      <c r="H6" s="49"/>
      <c r="I6" s="50"/>
    </row>
    <row r="7" spans="1:12">
      <c r="B7" s="47" t="str">
        <f>[16]step1!B7</f>
        <v>It will also need general maintenance costs of $1000 per year from year 1 to year 11.</v>
      </c>
      <c r="C7" s="48"/>
      <c r="D7" s="48"/>
      <c r="E7" s="48"/>
      <c r="F7" s="48"/>
      <c r="G7" s="48"/>
      <c r="H7" s="48"/>
      <c r="I7" s="50"/>
    </row>
    <row r="8" spans="1:12">
      <c r="B8" s="47" t="str">
        <f>[16]step1!B8</f>
        <v>What annual increase in rent must J. J. charge from now until the end of year 10</v>
      </c>
      <c r="C8" s="48"/>
      <c r="D8" s="48"/>
      <c r="E8" s="48"/>
      <c r="F8" s="48"/>
      <c r="G8" s="48"/>
      <c r="H8" s="48"/>
      <c r="I8" s="50"/>
    </row>
    <row r="9" spans="1:12">
      <c r="B9" s="51" t="str">
        <f>[16]step1!B9</f>
        <v>to cover these costs if the money is invested in bonds returning 4% per year?</v>
      </c>
      <c r="C9" s="52"/>
      <c r="D9" s="52"/>
      <c r="E9" s="52"/>
      <c r="F9" s="52"/>
      <c r="G9" s="52"/>
      <c r="H9" s="52"/>
      <c r="I9" s="54"/>
    </row>
    <row r="10" spans="1:12">
      <c r="F10" s="146"/>
    </row>
    <row r="11" spans="1:12">
      <c r="L11" s="128"/>
    </row>
    <row r="12" spans="1:12" ht="15.6">
      <c r="A12" s="55" t="s">
        <v>97</v>
      </c>
      <c r="B12" s="56"/>
      <c r="C12" s="57"/>
      <c r="D12" s="57"/>
      <c r="E12" s="57"/>
      <c r="F12" s="57"/>
      <c r="G12" s="57"/>
      <c r="H12" s="57"/>
      <c r="I12" s="58"/>
      <c r="L12" s="128"/>
    </row>
    <row r="13" spans="1:12" ht="15.6">
      <c r="A13" s="59"/>
      <c r="B13" s="60" t="s">
        <v>194</v>
      </c>
      <c r="I13" s="61"/>
    </row>
    <row r="14" spans="1:12">
      <c r="A14" s="62"/>
      <c r="B14" s="63"/>
      <c r="C14" s="63"/>
      <c r="D14" s="63"/>
      <c r="E14" s="63"/>
      <c r="F14" s="63"/>
      <c r="G14" s="63"/>
      <c r="H14" s="63"/>
      <c r="I14" s="64"/>
    </row>
    <row r="18" spans="2:12">
      <c r="B18" s="161" t="s">
        <v>99</v>
      </c>
      <c r="C18" s="148" t="s">
        <v>255</v>
      </c>
      <c r="D18" s="237" t="s">
        <v>256</v>
      </c>
      <c r="G18" s="93"/>
      <c r="H18" s="70"/>
      <c r="I18" s="93"/>
    </row>
    <row r="19" spans="2:12">
      <c r="B19" s="69">
        <v>0</v>
      </c>
      <c r="C19" s="238">
        <v>0</v>
      </c>
      <c r="D19" s="239"/>
      <c r="F19" s="161" t="s">
        <v>257</v>
      </c>
      <c r="G19" s="240">
        <f>[16]step1!L9</f>
        <v>0.04</v>
      </c>
      <c r="H19" s="153"/>
      <c r="I19" s="93"/>
    </row>
    <row r="20" spans="2:12">
      <c r="B20" s="69">
        <v>1</v>
      </c>
      <c r="C20" s="238">
        <v>1000</v>
      </c>
      <c r="D20" s="239" t="s">
        <v>130</v>
      </c>
      <c r="E20" s="238"/>
      <c r="F20" s="241"/>
      <c r="G20" s="154"/>
      <c r="H20" s="70"/>
      <c r="I20" s="152"/>
      <c r="K20" s="132"/>
      <c r="L20" s="84"/>
    </row>
    <row r="21" spans="2:12">
      <c r="B21" s="59">
        <v>2</v>
      </c>
      <c r="C21" s="238">
        <v>1000</v>
      </c>
      <c r="D21" s="239" t="s">
        <v>130</v>
      </c>
      <c r="E21" s="238"/>
      <c r="F21" s="242" t="s">
        <v>258</v>
      </c>
      <c r="G21" s="243">
        <f>NPV(G19,C20:C31)</f>
        <v>13692.039351474401</v>
      </c>
      <c r="H21" s="70"/>
      <c r="I21" s="93"/>
    </row>
    <row r="22" spans="2:12">
      <c r="B22" s="69">
        <v>3</v>
      </c>
      <c r="C22" s="238">
        <v>1000</v>
      </c>
      <c r="D22" s="239" t="s">
        <v>130</v>
      </c>
      <c r="E22" s="238"/>
      <c r="F22" s="70"/>
      <c r="G22" s="152"/>
      <c r="H22" s="70"/>
      <c r="I22" s="93"/>
    </row>
    <row r="23" spans="2:12">
      <c r="B23" s="69">
        <v>4</v>
      </c>
      <c r="C23" s="238">
        <v>1000</v>
      </c>
      <c r="D23" s="239" t="s">
        <v>130</v>
      </c>
      <c r="E23" s="238"/>
      <c r="F23" s="70"/>
      <c r="G23" s="93"/>
      <c r="H23" s="93"/>
      <c r="I23" s="93"/>
    </row>
    <row r="24" spans="2:12">
      <c r="B24" s="59">
        <v>5</v>
      </c>
      <c r="C24" s="238">
        <v>7000</v>
      </c>
      <c r="D24" s="239" t="s">
        <v>130</v>
      </c>
      <c r="E24" s="238"/>
      <c r="F24" s="244" t="s">
        <v>257</v>
      </c>
      <c r="G24" s="240">
        <f>[16]step1!L9</f>
        <v>0.04</v>
      </c>
      <c r="H24" s="93"/>
      <c r="I24" s="160"/>
    </row>
    <row r="25" spans="2:12">
      <c r="B25" s="59">
        <v>6</v>
      </c>
      <c r="C25" s="238">
        <v>1000</v>
      </c>
      <c r="D25" s="239" t="s">
        <v>130</v>
      </c>
      <c r="E25" s="238"/>
      <c r="F25" s="241" t="s">
        <v>259</v>
      </c>
      <c r="G25" s="61">
        <f>[16]step1!L1</f>
        <v>10</v>
      </c>
      <c r="H25" s="93"/>
      <c r="I25" s="93"/>
    </row>
    <row r="26" spans="2:12">
      <c r="B26" s="69">
        <v>7</v>
      </c>
      <c r="C26" s="238">
        <v>1000</v>
      </c>
      <c r="D26" s="239" t="s">
        <v>130</v>
      </c>
      <c r="E26" s="238"/>
      <c r="F26" s="241" t="s">
        <v>258</v>
      </c>
      <c r="G26" s="245">
        <f>G21</f>
        <v>13692.039351474401</v>
      </c>
      <c r="H26" s="93"/>
      <c r="I26" s="93"/>
    </row>
    <row r="27" spans="2:12">
      <c r="B27" s="59">
        <v>8</v>
      </c>
      <c r="C27" s="238">
        <v>1000</v>
      </c>
      <c r="D27" s="239" t="s">
        <v>130</v>
      </c>
      <c r="E27" s="238"/>
      <c r="F27" s="241"/>
      <c r="G27" s="61"/>
      <c r="H27" s="93"/>
      <c r="I27" s="93"/>
    </row>
    <row r="28" spans="2:12">
      <c r="B28" s="59">
        <v>9</v>
      </c>
      <c r="C28" s="238">
        <v>1000</v>
      </c>
      <c r="D28" s="239" t="s">
        <v>130</v>
      </c>
      <c r="E28" s="238"/>
      <c r="F28" s="242" t="s">
        <v>260</v>
      </c>
      <c r="G28" s="246">
        <f>PMT(G24,G25,-G26)</f>
        <v>1688.1044614486691</v>
      </c>
    </row>
    <row r="29" spans="2:12">
      <c r="B29" s="59">
        <v>10</v>
      </c>
      <c r="C29" s="238">
        <v>1000</v>
      </c>
      <c r="D29" s="239" t="s">
        <v>130</v>
      </c>
      <c r="G29" s="247" t="s">
        <v>261</v>
      </c>
    </row>
    <row r="30" spans="2:12">
      <c r="B30" s="59">
        <v>11</v>
      </c>
      <c r="C30" s="238">
        <v>1000</v>
      </c>
      <c r="D30" s="248"/>
    </row>
    <row r="31" spans="2:12">
      <c r="B31" s="59">
        <v>12</v>
      </c>
      <c r="C31" s="238">
        <v>0</v>
      </c>
      <c r="D31" s="248"/>
      <c r="E31" s="65"/>
      <c r="G31" s="65"/>
    </row>
    <row r="32" spans="2:12">
      <c r="B32" s="62"/>
      <c r="C32" s="140"/>
      <c r="D32" s="64"/>
    </row>
    <row r="33" spans="2:8">
      <c r="E33" s="106"/>
      <c r="F33" s="103"/>
      <c r="G33" s="76"/>
      <c r="H33" s="77"/>
    </row>
    <row r="34" spans="2:8">
      <c r="C34" s="74"/>
    </row>
    <row r="35" spans="2:8" ht="17.399999999999999">
      <c r="B35" s="25" t="s">
        <v>117</v>
      </c>
      <c r="C35" s="74"/>
    </row>
    <row r="36" spans="2:8">
      <c r="C36" s="74"/>
    </row>
    <row r="37" spans="2:8">
      <c r="C37" s="74"/>
    </row>
    <row r="38" spans="2:8">
      <c r="C38" s="74"/>
    </row>
    <row r="39" spans="2:8">
      <c r="C39" s="74"/>
    </row>
    <row r="40" spans="2:8">
      <c r="C40" s="74"/>
    </row>
    <row r="41" spans="2:8">
      <c r="C41" s="74"/>
    </row>
    <row r="42" spans="2:8">
      <c r="C42" s="74"/>
    </row>
    <row r="43" spans="2:8">
      <c r="D43" s="76"/>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E1B26-C0DB-4C6D-BA14-66A7AF576E83}">
  <dimension ref="A1:L43"/>
  <sheetViews>
    <sheetView workbookViewId="0">
      <selection sqref="A1:XFD1048576"/>
    </sheetView>
  </sheetViews>
  <sheetFormatPr defaultRowHeight="14.4"/>
  <cols>
    <col min="3" max="4" width="9.6640625" customWidth="1"/>
    <col min="5" max="6" width="10.6640625" customWidth="1"/>
    <col min="8" max="8" width="5.6640625" customWidth="1"/>
    <col min="9" max="9" width="6.6640625" customWidth="1"/>
    <col min="259" max="260" width="9.6640625" customWidth="1"/>
    <col min="261" max="262" width="10.6640625" customWidth="1"/>
    <col min="264" max="264" width="5.6640625" customWidth="1"/>
    <col min="265" max="265" width="6.6640625" customWidth="1"/>
    <col min="515" max="516" width="9.6640625" customWidth="1"/>
    <col min="517" max="518" width="10.6640625" customWidth="1"/>
    <col min="520" max="520" width="5.6640625" customWidth="1"/>
    <col min="521" max="521" width="6.6640625" customWidth="1"/>
    <col min="771" max="772" width="9.6640625" customWidth="1"/>
    <col min="773" max="774" width="10.6640625" customWidth="1"/>
    <col min="776" max="776" width="5.6640625" customWidth="1"/>
    <col min="777" max="777" width="6.6640625" customWidth="1"/>
    <col min="1027" max="1028" width="9.6640625" customWidth="1"/>
    <col min="1029" max="1030" width="10.6640625" customWidth="1"/>
    <col min="1032" max="1032" width="5.6640625" customWidth="1"/>
    <col min="1033" max="1033" width="6.6640625" customWidth="1"/>
    <col min="1283" max="1284" width="9.6640625" customWidth="1"/>
    <col min="1285" max="1286" width="10.6640625" customWidth="1"/>
    <col min="1288" max="1288" width="5.6640625" customWidth="1"/>
    <col min="1289" max="1289" width="6.6640625" customWidth="1"/>
    <col min="1539" max="1540" width="9.6640625" customWidth="1"/>
    <col min="1541" max="1542" width="10.6640625" customWidth="1"/>
    <col min="1544" max="1544" width="5.6640625" customWidth="1"/>
    <col min="1545" max="1545" width="6.6640625" customWidth="1"/>
    <col min="1795" max="1796" width="9.6640625" customWidth="1"/>
    <col min="1797" max="1798" width="10.6640625" customWidth="1"/>
    <col min="1800" max="1800" width="5.6640625" customWidth="1"/>
    <col min="1801" max="1801" width="6.6640625" customWidth="1"/>
    <col min="2051" max="2052" width="9.6640625" customWidth="1"/>
    <col min="2053" max="2054" width="10.6640625" customWidth="1"/>
    <col min="2056" max="2056" width="5.6640625" customWidth="1"/>
    <col min="2057" max="2057" width="6.6640625" customWidth="1"/>
    <col min="2307" max="2308" width="9.6640625" customWidth="1"/>
    <col min="2309" max="2310" width="10.6640625" customWidth="1"/>
    <col min="2312" max="2312" width="5.6640625" customWidth="1"/>
    <col min="2313" max="2313" width="6.6640625" customWidth="1"/>
    <col min="2563" max="2564" width="9.6640625" customWidth="1"/>
    <col min="2565" max="2566" width="10.6640625" customWidth="1"/>
    <col min="2568" max="2568" width="5.6640625" customWidth="1"/>
    <col min="2569" max="2569" width="6.6640625" customWidth="1"/>
    <col min="2819" max="2820" width="9.6640625" customWidth="1"/>
    <col min="2821" max="2822" width="10.6640625" customWidth="1"/>
    <col min="2824" max="2824" width="5.6640625" customWidth="1"/>
    <col min="2825" max="2825" width="6.6640625" customWidth="1"/>
    <col min="3075" max="3076" width="9.6640625" customWidth="1"/>
    <col min="3077" max="3078" width="10.6640625" customWidth="1"/>
    <col min="3080" max="3080" width="5.6640625" customWidth="1"/>
    <col min="3081" max="3081" width="6.6640625" customWidth="1"/>
    <col min="3331" max="3332" width="9.6640625" customWidth="1"/>
    <col min="3333" max="3334" width="10.6640625" customWidth="1"/>
    <col min="3336" max="3336" width="5.6640625" customWidth="1"/>
    <col min="3337" max="3337" width="6.6640625" customWidth="1"/>
    <col min="3587" max="3588" width="9.6640625" customWidth="1"/>
    <col min="3589" max="3590" width="10.6640625" customWidth="1"/>
    <col min="3592" max="3592" width="5.6640625" customWidth="1"/>
    <col min="3593" max="3593" width="6.6640625" customWidth="1"/>
    <col min="3843" max="3844" width="9.6640625" customWidth="1"/>
    <col min="3845" max="3846" width="10.6640625" customWidth="1"/>
    <col min="3848" max="3848" width="5.6640625" customWidth="1"/>
    <col min="3849" max="3849" width="6.6640625" customWidth="1"/>
    <col min="4099" max="4100" width="9.6640625" customWidth="1"/>
    <col min="4101" max="4102" width="10.6640625" customWidth="1"/>
    <col min="4104" max="4104" width="5.6640625" customWidth="1"/>
    <col min="4105" max="4105" width="6.6640625" customWidth="1"/>
    <col min="4355" max="4356" width="9.6640625" customWidth="1"/>
    <col min="4357" max="4358" width="10.6640625" customWidth="1"/>
    <col min="4360" max="4360" width="5.6640625" customWidth="1"/>
    <col min="4361" max="4361" width="6.6640625" customWidth="1"/>
    <col min="4611" max="4612" width="9.6640625" customWidth="1"/>
    <col min="4613" max="4614" width="10.6640625" customWidth="1"/>
    <col min="4616" max="4616" width="5.6640625" customWidth="1"/>
    <col min="4617" max="4617" width="6.6640625" customWidth="1"/>
    <col min="4867" max="4868" width="9.6640625" customWidth="1"/>
    <col min="4869" max="4870" width="10.6640625" customWidth="1"/>
    <col min="4872" max="4872" width="5.6640625" customWidth="1"/>
    <col min="4873" max="4873" width="6.6640625" customWidth="1"/>
    <col min="5123" max="5124" width="9.6640625" customWidth="1"/>
    <col min="5125" max="5126" width="10.6640625" customWidth="1"/>
    <col min="5128" max="5128" width="5.6640625" customWidth="1"/>
    <col min="5129" max="5129" width="6.6640625" customWidth="1"/>
    <col min="5379" max="5380" width="9.6640625" customWidth="1"/>
    <col min="5381" max="5382" width="10.6640625" customWidth="1"/>
    <col min="5384" max="5384" width="5.6640625" customWidth="1"/>
    <col min="5385" max="5385" width="6.6640625" customWidth="1"/>
    <col min="5635" max="5636" width="9.6640625" customWidth="1"/>
    <col min="5637" max="5638" width="10.6640625" customWidth="1"/>
    <col min="5640" max="5640" width="5.6640625" customWidth="1"/>
    <col min="5641" max="5641" width="6.6640625" customWidth="1"/>
    <col min="5891" max="5892" width="9.6640625" customWidth="1"/>
    <col min="5893" max="5894" width="10.6640625" customWidth="1"/>
    <col min="5896" max="5896" width="5.6640625" customWidth="1"/>
    <col min="5897" max="5897" width="6.6640625" customWidth="1"/>
    <col min="6147" max="6148" width="9.6640625" customWidth="1"/>
    <col min="6149" max="6150" width="10.6640625" customWidth="1"/>
    <col min="6152" max="6152" width="5.6640625" customWidth="1"/>
    <col min="6153" max="6153" width="6.6640625" customWidth="1"/>
    <col min="6403" max="6404" width="9.6640625" customWidth="1"/>
    <col min="6405" max="6406" width="10.6640625" customWidth="1"/>
    <col min="6408" max="6408" width="5.6640625" customWidth="1"/>
    <col min="6409" max="6409" width="6.6640625" customWidth="1"/>
    <col min="6659" max="6660" width="9.6640625" customWidth="1"/>
    <col min="6661" max="6662" width="10.6640625" customWidth="1"/>
    <col min="6664" max="6664" width="5.6640625" customWidth="1"/>
    <col min="6665" max="6665" width="6.6640625" customWidth="1"/>
    <col min="6915" max="6916" width="9.6640625" customWidth="1"/>
    <col min="6917" max="6918" width="10.6640625" customWidth="1"/>
    <col min="6920" max="6920" width="5.6640625" customWidth="1"/>
    <col min="6921" max="6921" width="6.6640625" customWidth="1"/>
    <col min="7171" max="7172" width="9.6640625" customWidth="1"/>
    <col min="7173" max="7174" width="10.6640625" customWidth="1"/>
    <col min="7176" max="7176" width="5.6640625" customWidth="1"/>
    <col min="7177" max="7177" width="6.6640625" customWidth="1"/>
    <col min="7427" max="7428" width="9.6640625" customWidth="1"/>
    <col min="7429" max="7430" width="10.6640625" customWidth="1"/>
    <col min="7432" max="7432" width="5.6640625" customWidth="1"/>
    <col min="7433" max="7433" width="6.6640625" customWidth="1"/>
    <col min="7683" max="7684" width="9.6640625" customWidth="1"/>
    <col min="7685" max="7686" width="10.6640625" customWidth="1"/>
    <col min="7688" max="7688" width="5.6640625" customWidth="1"/>
    <col min="7689" max="7689" width="6.6640625" customWidth="1"/>
    <col min="7939" max="7940" width="9.6640625" customWidth="1"/>
    <col min="7941" max="7942" width="10.6640625" customWidth="1"/>
    <col min="7944" max="7944" width="5.6640625" customWidth="1"/>
    <col min="7945" max="7945" width="6.6640625" customWidth="1"/>
    <col min="8195" max="8196" width="9.6640625" customWidth="1"/>
    <col min="8197" max="8198" width="10.6640625" customWidth="1"/>
    <col min="8200" max="8200" width="5.6640625" customWidth="1"/>
    <col min="8201" max="8201" width="6.6640625" customWidth="1"/>
    <col min="8451" max="8452" width="9.6640625" customWidth="1"/>
    <col min="8453" max="8454" width="10.6640625" customWidth="1"/>
    <col min="8456" max="8456" width="5.6640625" customWidth="1"/>
    <col min="8457" max="8457" width="6.6640625" customWidth="1"/>
    <col min="8707" max="8708" width="9.6640625" customWidth="1"/>
    <col min="8709" max="8710" width="10.6640625" customWidth="1"/>
    <col min="8712" max="8712" width="5.6640625" customWidth="1"/>
    <col min="8713" max="8713" width="6.6640625" customWidth="1"/>
    <col min="8963" max="8964" width="9.6640625" customWidth="1"/>
    <col min="8965" max="8966" width="10.6640625" customWidth="1"/>
    <col min="8968" max="8968" width="5.6640625" customWidth="1"/>
    <col min="8969" max="8969" width="6.6640625" customWidth="1"/>
    <col min="9219" max="9220" width="9.6640625" customWidth="1"/>
    <col min="9221" max="9222" width="10.6640625" customWidth="1"/>
    <col min="9224" max="9224" width="5.6640625" customWidth="1"/>
    <col min="9225" max="9225" width="6.6640625" customWidth="1"/>
    <col min="9475" max="9476" width="9.6640625" customWidth="1"/>
    <col min="9477" max="9478" width="10.6640625" customWidth="1"/>
    <col min="9480" max="9480" width="5.6640625" customWidth="1"/>
    <col min="9481" max="9481" width="6.6640625" customWidth="1"/>
    <col min="9731" max="9732" width="9.6640625" customWidth="1"/>
    <col min="9733" max="9734" width="10.6640625" customWidth="1"/>
    <col min="9736" max="9736" width="5.6640625" customWidth="1"/>
    <col min="9737" max="9737" width="6.6640625" customWidth="1"/>
    <col min="9987" max="9988" width="9.6640625" customWidth="1"/>
    <col min="9989" max="9990" width="10.6640625" customWidth="1"/>
    <col min="9992" max="9992" width="5.6640625" customWidth="1"/>
    <col min="9993" max="9993" width="6.6640625" customWidth="1"/>
    <col min="10243" max="10244" width="9.6640625" customWidth="1"/>
    <col min="10245" max="10246" width="10.6640625" customWidth="1"/>
    <col min="10248" max="10248" width="5.6640625" customWidth="1"/>
    <col min="10249" max="10249" width="6.6640625" customWidth="1"/>
    <col min="10499" max="10500" width="9.6640625" customWidth="1"/>
    <col min="10501" max="10502" width="10.6640625" customWidth="1"/>
    <col min="10504" max="10504" width="5.6640625" customWidth="1"/>
    <col min="10505" max="10505" width="6.6640625" customWidth="1"/>
    <col min="10755" max="10756" width="9.6640625" customWidth="1"/>
    <col min="10757" max="10758" width="10.6640625" customWidth="1"/>
    <col min="10760" max="10760" width="5.6640625" customWidth="1"/>
    <col min="10761" max="10761" width="6.6640625" customWidth="1"/>
    <col min="11011" max="11012" width="9.6640625" customWidth="1"/>
    <col min="11013" max="11014" width="10.6640625" customWidth="1"/>
    <col min="11016" max="11016" width="5.6640625" customWidth="1"/>
    <col min="11017" max="11017" width="6.6640625" customWidth="1"/>
    <col min="11267" max="11268" width="9.6640625" customWidth="1"/>
    <col min="11269" max="11270" width="10.6640625" customWidth="1"/>
    <col min="11272" max="11272" width="5.6640625" customWidth="1"/>
    <col min="11273" max="11273" width="6.6640625" customWidth="1"/>
    <col min="11523" max="11524" width="9.6640625" customWidth="1"/>
    <col min="11525" max="11526" width="10.6640625" customWidth="1"/>
    <col min="11528" max="11528" width="5.6640625" customWidth="1"/>
    <col min="11529" max="11529" width="6.6640625" customWidth="1"/>
    <col min="11779" max="11780" width="9.6640625" customWidth="1"/>
    <col min="11781" max="11782" width="10.6640625" customWidth="1"/>
    <col min="11784" max="11784" width="5.6640625" customWidth="1"/>
    <col min="11785" max="11785" width="6.6640625" customWidth="1"/>
    <col min="12035" max="12036" width="9.6640625" customWidth="1"/>
    <col min="12037" max="12038" width="10.6640625" customWidth="1"/>
    <col min="12040" max="12040" width="5.6640625" customWidth="1"/>
    <col min="12041" max="12041" width="6.6640625" customWidth="1"/>
    <col min="12291" max="12292" width="9.6640625" customWidth="1"/>
    <col min="12293" max="12294" width="10.6640625" customWidth="1"/>
    <col min="12296" max="12296" width="5.6640625" customWidth="1"/>
    <col min="12297" max="12297" width="6.6640625" customWidth="1"/>
    <col min="12547" max="12548" width="9.6640625" customWidth="1"/>
    <col min="12549" max="12550" width="10.6640625" customWidth="1"/>
    <col min="12552" max="12552" width="5.6640625" customWidth="1"/>
    <col min="12553" max="12553" width="6.6640625" customWidth="1"/>
    <col min="12803" max="12804" width="9.6640625" customWidth="1"/>
    <col min="12805" max="12806" width="10.6640625" customWidth="1"/>
    <col min="12808" max="12808" width="5.6640625" customWidth="1"/>
    <col min="12809" max="12809" width="6.6640625" customWidth="1"/>
    <col min="13059" max="13060" width="9.6640625" customWidth="1"/>
    <col min="13061" max="13062" width="10.6640625" customWidth="1"/>
    <col min="13064" max="13064" width="5.6640625" customWidth="1"/>
    <col min="13065" max="13065" width="6.6640625" customWidth="1"/>
    <col min="13315" max="13316" width="9.6640625" customWidth="1"/>
    <col min="13317" max="13318" width="10.6640625" customWidth="1"/>
    <col min="13320" max="13320" width="5.6640625" customWidth="1"/>
    <col min="13321" max="13321" width="6.6640625" customWidth="1"/>
    <col min="13571" max="13572" width="9.6640625" customWidth="1"/>
    <col min="13573" max="13574" width="10.6640625" customWidth="1"/>
    <col min="13576" max="13576" width="5.6640625" customWidth="1"/>
    <col min="13577" max="13577" width="6.6640625" customWidth="1"/>
    <col min="13827" max="13828" width="9.6640625" customWidth="1"/>
    <col min="13829" max="13830" width="10.6640625" customWidth="1"/>
    <col min="13832" max="13832" width="5.6640625" customWidth="1"/>
    <col min="13833" max="13833" width="6.6640625" customWidth="1"/>
    <col min="14083" max="14084" width="9.6640625" customWidth="1"/>
    <col min="14085" max="14086" width="10.6640625" customWidth="1"/>
    <col min="14088" max="14088" width="5.6640625" customWidth="1"/>
    <col min="14089" max="14089" width="6.6640625" customWidth="1"/>
    <col min="14339" max="14340" width="9.6640625" customWidth="1"/>
    <col min="14341" max="14342" width="10.6640625" customWidth="1"/>
    <col min="14344" max="14344" width="5.6640625" customWidth="1"/>
    <col min="14345" max="14345" width="6.6640625" customWidth="1"/>
    <col min="14595" max="14596" width="9.6640625" customWidth="1"/>
    <col min="14597" max="14598" width="10.6640625" customWidth="1"/>
    <col min="14600" max="14600" width="5.6640625" customWidth="1"/>
    <col min="14601" max="14601" width="6.6640625" customWidth="1"/>
    <col min="14851" max="14852" width="9.6640625" customWidth="1"/>
    <col min="14853" max="14854" width="10.6640625" customWidth="1"/>
    <col min="14856" max="14856" width="5.6640625" customWidth="1"/>
    <col min="14857" max="14857" width="6.6640625" customWidth="1"/>
    <col min="15107" max="15108" width="9.6640625" customWidth="1"/>
    <col min="15109" max="15110" width="10.6640625" customWidth="1"/>
    <col min="15112" max="15112" width="5.6640625" customWidth="1"/>
    <col min="15113" max="15113" width="6.6640625" customWidth="1"/>
    <col min="15363" max="15364" width="9.6640625" customWidth="1"/>
    <col min="15365" max="15366" width="10.6640625" customWidth="1"/>
    <col min="15368" max="15368" width="5.6640625" customWidth="1"/>
    <col min="15369" max="15369" width="6.6640625" customWidth="1"/>
    <col min="15619" max="15620" width="9.6640625" customWidth="1"/>
    <col min="15621" max="15622" width="10.6640625" customWidth="1"/>
    <col min="15624" max="15624" width="5.6640625" customWidth="1"/>
    <col min="15625" max="15625" width="6.6640625" customWidth="1"/>
    <col min="15875" max="15876" width="9.6640625" customWidth="1"/>
    <col min="15877" max="15878" width="10.6640625" customWidth="1"/>
    <col min="15880" max="15880" width="5.6640625" customWidth="1"/>
    <col min="15881" max="15881" width="6.6640625" customWidth="1"/>
    <col min="16131" max="16132" width="9.6640625" customWidth="1"/>
    <col min="16133" max="16134" width="10.6640625" customWidth="1"/>
    <col min="16136" max="16136" width="5.6640625" customWidth="1"/>
    <col min="16137" max="16137" width="6.6640625" customWidth="1"/>
  </cols>
  <sheetData>
    <row r="1" spans="1:12" ht="17.399999999999999">
      <c r="D1" s="43" t="str">
        <f>[17]step1!D1</f>
        <v>Net Present Value Function</v>
      </c>
    </row>
    <row r="2" spans="1:12" ht="17.399999999999999">
      <c r="D2" s="43" t="str">
        <f>[17]step1!D2</f>
        <v>Total software cost problems</v>
      </c>
    </row>
    <row r="5" spans="1:12">
      <c r="B5" s="44" t="str">
        <f>[17]step1!B5</f>
        <v>Wrap Music Inc. is purchasing new graphics design software for creating CD covers.</v>
      </c>
      <c r="C5" s="45"/>
      <c r="D5" s="45"/>
      <c r="E5" s="45"/>
      <c r="F5" s="45"/>
      <c r="G5" s="45"/>
      <c r="H5" s="45"/>
      <c r="I5" s="46"/>
    </row>
    <row r="6" spans="1:12">
      <c r="B6" s="47" t="str">
        <f>[17]step1!B6</f>
        <v>The initial software and setup cost is $22000.  The annual technical support</v>
      </c>
      <c r="C6" s="48"/>
      <c r="D6" s="48"/>
      <c r="E6" s="48"/>
      <c r="F6" s="48"/>
      <c r="G6" s="48"/>
      <c r="H6" s="49"/>
      <c r="I6" s="50"/>
    </row>
    <row r="7" spans="1:12">
      <c r="B7" s="47" t="str">
        <f>[17]step1!B7</f>
        <v>will cost $200 and is expected to increase $100 per year through year 8.</v>
      </c>
      <c r="C7" s="48"/>
      <c r="D7" s="48"/>
      <c r="E7" s="48"/>
      <c r="F7" s="48"/>
      <c r="G7" s="48"/>
      <c r="H7" s="48"/>
      <c r="I7" s="50"/>
    </row>
    <row r="8" spans="1:12">
      <c r="B8" s="47" t="str">
        <f>[17]step1!B8</f>
        <v>New workers will be trained on the software for $10000 per year from year 2 to year 7.</v>
      </c>
      <c r="C8" s="48"/>
      <c r="D8" s="48"/>
      <c r="E8" s="48"/>
      <c r="F8" s="48"/>
      <c r="G8" s="48"/>
      <c r="H8" s="48"/>
      <c r="I8" s="50"/>
    </row>
    <row r="9" spans="1:12">
      <c r="B9" s="47" t="str">
        <f>[17]step1!B9</f>
        <v>There will be a one-time upgrade of the software of $6000 in year 5.  What is the</v>
      </c>
      <c r="C9" s="48"/>
      <c r="D9" s="48"/>
      <c r="E9" s="48"/>
      <c r="F9" s="48"/>
      <c r="G9" s="48"/>
      <c r="H9" s="48"/>
      <c r="I9" s="50"/>
    </row>
    <row r="10" spans="1:12">
      <c r="B10" s="51" t="str">
        <f>[17]step1!B10</f>
        <v>total present value of 8 years of costs if the company uses an MARR of 18%.</v>
      </c>
      <c r="C10" s="52"/>
      <c r="D10" s="52"/>
      <c r="E10" s="52"/>
      <c r="F10" s="53"/>
      <c r="G10" s="52"/>
      <c r="H10" s="52"/>
      <c r="I10" s="54"/>
    </row>
    <row r="11" spans="1:12">
      <c r="L11" s="128"/>
    </row>
    <row r="12" spans="1:12" ht="15.6">
      <c r="A12" s="55" t="s">
        <v>97</v>
      </c>
      <c r="B12" s="56"/>
      <c r="C12" s="57"/>
      <c r="D12" s="57"/>
      <c r="E12" s="57"/>
      <c r="F12" s="57"/>
      <c r="G12" s="57"/>
      <c r="H12" s="57"/>
      <c r="I12" s="58"/>
      <c r="L12" s="128"/>
    </row>
    <row r="13" spans="1:12" ht="15.6">
      <c r="A13" s="59"/>
      <c r="B13" s="60" t="s">
        <v>194</v>
      </c>
      <c r="I13" s="61"/>
    </row>
    <row r="14" spans="1:12">
      <c r="A14" s="62"/>
      <c r="B14" s="63"/>
      <c r="C14" s="63"/>
      <c r="D14" s="63"/>
      <c r="E14" s="63"/>
      <c r="F14" s="63"/>
      <c r="G14" s="63"/>
      <c r="H14" s="63"/>
      <c r="I14" s="64"/>
    </row>
    <row r="18" spans="2:12">
      <c r="G18" s="93"/>
      <c r="H18" s="70"/>
      <c r="I18" s="93"/>
    </row>
    <row r="19" spans="2:12">
      <c r="B19" s="161" t="s">
        <v>99</v>
      </c>
      <c r="C19" s="148" t="s">
        <v>262</v>
      </c>
      <c r="D19" s="249" t="s">
        <v>263</v>
      </c>
      <c r="E19" s="57" t="s">
        <v>237</v>
      </c>
      <c r="F19" s="150" t="s">
        <v>136</v>
      </c>
      <c r="G19" s="152"/>
      <c r="H19" s="153"/>
      <c r="I19" s="93"/>
    </row>
    <row r="20" spans="2:12">
      <c r="B20" s="69">
        <v>0</v>
      </c>
      <c r="C20" s="238">
        <f>[17]step2!C20</f>
        <v>22000</v>
      </c>
      <c r="D20" s="238">
        <f>[17]step2!D20</f>
        <v>0</v>
      </c>
      <c r="E20" s="238">
        <f>[17]step2!E20</f>
        <v>0</v>
      </c>
      <c r="F20" s="71">
        <f>SUM(C20:E20)</f>
        <v>22000</v>
      </c>
      <c r="G20" s="93"/>
      <c r="H20" s="70"/>
      <c r="I20" s="152"/>
      <c r="K20" s="132"/>
      <c r="L20" s="84"/>
    </row>
    <row r="21" spans="2:12">
      <c r="B21" s="69">
        <v>1</v>
      </c>
      <c r="C21" s="238">
        <f>[17]step2!C21</f>
        <v>0</v>
      </c>
      <c r="D21" s="238">
        <f>[17]step2!D21</f>
        <v>200</v>
      </c>
      <c r="E21" s="238">
        <f>[17]step2!E21</f>
        <v>0</v>
      </c>
      <c r="F21" s="71">
        <f t="shared" ref="F21:F28" si="0">SUM(C21:E21)</f>
        <v>200</v>
      </c>
      <c r="G21" s="250"/>
      <c r="H21" s="70"/>
      <c r="I21" s="93"/>
    </row>
    <row r="22" spans="2:12">
      <c r="B22" s="59">
        <v>2</v>
      </c>
      <c r="C22" s="238">
        <f>[17]step2!C22</f>
        <v>0</v>
      </c>
      <c r="D22" s="238">
        <f>[17]step2!D22</f>
        <v>300</v>
      </c>
      <c r="E22" s="238">
        <f>[17]step2!E22</f>
        <v>10000</v>
      </c>
      <c r="F22" s="71">
        <f t="shared" si="0"/>
        <v>10300</v>
      </c>
      <c r="G22" s="152"/>
      <c r="H22" s="70"/>
      <c r="I22" s="93"/>
    </row>
    <row r="23" spans="2:12">
      <c r="B23" s="69">
        <v>3</v>
      </c>
      <c r="C23" s="238">
        <f>[17]step2!C23</f>
        <v>0</v>
      </c>
      <c r="D23" s="238">
        <f>[17]step2!D23</f>
        <v>400</v>
      </c>
      <c r="E23" s="238">
        <f>[17]step2!E23</f>
        <v>10000</v>
      </c>
      <c r="F23" s="71">
        <f t="shared" si="0"/>
        <v>10400</v>
      </c>
      <c r="G23" s="93"/>
      <c r="H23" s="93"/>
      <c r="I23" s="93"/>
    </row>
    <row r="24" spans="2:12">
      <c r="B24" s="69">
        <v>4</v>
      </c>
      <c r="C24" s="238">
        <f>[17]step2!C24</f>
        <v>0</v>
      </c>
      <c r="D24" s="238">
        <f>[17]step2!D24</f>
        <v>500</v>
      </c>
      <c r="E24" s="238">
        <f>[17]step2!E24</f>
        <v>10000</v>
      </c>
      <c r="F24" s="71">
        <f t="shared" si="0"/>
        <v>10500</v>
      </c>
      <c r="G24" s="159"/>
      <c r="H24" s="93"/>
      <c r="I24" s="160"/>
    </row>
    <row r="25" spans="2:12">
      <c r="B25" s="59">
        <v>5</v>
      </c>
      <c r="C25" s="238">
        <f>[17]step2!C25</f>
        <v>6000</v>
      </c>
      <c r="D25" s="238">
        <f>[17]step2!D25</f>
        <v>600</v>
      </c>
      <c r="E25" s="238">
        <f>[17]step2!E25</f>
        <v>10000</v>
      </c>
      <c r="F25" s="71">
        <f t="shared" si="0"/>
        <v>16600</v>
      </c>
      <c r="H25" s="93"/>
      <c r="I25" s="93"/>
    </row>
    <row r="26" spans="2:12">
      <c r="B26" s="59">
        <v>6</v>
      </c>
      <c r="C26" s="238">
        <f>[17]step2!C26</f>
        <v>0</v>
      </c>
      <c r="D26" s="238">
        <f>[17]step2!D26</f>
        <v>700</v>
      </c>
      <c r="E26" s="238">
        <f>[17]step2!E26</f>
        <v>10000</v>
      </c>
      <c r="F26" s="71">
        <f t="shared" si="0"/>
        <v>10700</v>
      </c>
      <c r="G26" s="103"/>
      <c r="H26" s="93"/>
      <c r="I26" s="93"/>
    </row>
    <row r="27" spans="2:12">
      <c r="B27" s="69">
        <v>7</v>
      </c>
      <c r="C27" s="238">
        <f>[17]step2!C27</f>
        <v>0</v>
      </c>
      <c r="D27" s="238">
        <f>[17]step2!D27</f>
        <v>800</v>
      </c>
      <c r="E27" s="238">
        <f>[17]step2!E27</f>
        <v>10000</v>
      </c>
      <c r="F27" s="71">
        <f t="shared" si="0"/>
        <v>10800</v>
      </c>
      <c r="H27" s="93"/>
      <c r="I27" s="93"/>
    </row>
    <row r="28" spans="2:12">
      <c r="B28" s="59">
        <v>8</v>
      </c>
      <c r="C28" s="238">
        <f>[17]step2!C28</f>
        <v>0</v>
      </c>
      <c r="D28" s="238">
        <f>[17]step2!D28</f>
        <v>900</v>
      </c>
      <c r="E28" s="238">
        <f>[17]step2!E28</f>
        <v>0</v>
      </c>
      <c r="F28" s="71">
        <f t="shared" si="0"/>
        <v>900</v>
      </c>
    </row>
    <row r="29" spans="2:12">
      <c r="B29" s="62"/>
      <c r="C29" s="140"/>
      <c r="D29" s="63"/>
      <c r="E29" s="63"/>
      <c r="F29" s="64"/>
      <c r="G29" s="74"/>
    </row>
    <row r="30" spans="2:12">
      <c r="C30" s="74"/>
    </row>
    <row r="31" spans="2:12">
      <c r="C31" s="251" t="s">
        <v>264</v>
      </c>
      <c r="D31" s="57"/>
      <c r="E31" s="252">
        <f>[17]step1!L9</f>
        <v>0.18</v>
      </c>
      <c r="G31" s="65"/>
    </row>
    <row r="32" spans="2:12">
      <c r="C32" s="175"/>
      <c r="E32" s="61"/>
    </row>
    <row r="33" spans="2:8">
      <c r="C33" s="253" t="s">
        <v>265</v>
      </c>
      <c r="D33" s="63"/>
      <c r="E33" s="246">
        <f>F20+NPV(E31,F21:F28)</f>
        <v>56161.790581500856</v>
      </c>
      <c r="F33" s="103" t="s">
        <v>266</v>
      </c>
      <c r="G33" s="76"/>
      <c r="H33" s="77"/>
    </row>
    <row r="34" spans="2:8">
      <c r="C34" s="74"/>
    </row>
    <row r="35" spans="2:8">
      <c r="C35" s="74"/>
    </row>
    <row r="36" spans="2:8" ht="17.399999999999999">
      <c r="B36" s="25" t="s">
        <v>117</v>
      </c>
      <c r="C36" s="74"/>
    </row>
    <row r="37" spans="2:8">
      <c r="C37" s="74"/>
    </row>
    <row r="38" spans="2:8">
      <c r="C38" s="74"/>
    </row>
    <row r="39" spans="2:8">
      <c r="C39" s="74"/>
    </row>
    <row r="40" spans="2:8">
      <c r="C40" s="74"/>
    </row>
    <row r="41" spans="2:8">
      <c r="C41" s="74"/>
    </row>
    <row r="42" spans="2:8">
      <c r="C42" s="74"/>
    </row>
    <row r="43" spans="2:8">
      <c r="D43" s="76"/>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6677E-786A-43B0-A3CE-72C025741C75}">
  <dimension ref="A1:L43"/>
  <sheetViews>
    <sheetView workbookViewId="0">
      <selection sqref="A1:XFD1048576"/>
    </sheetView>
  </sheetViews>
  <sheetFormatPr defaultRowHeight="14.4"/>
  <cols>
    <col min="4" max="4" width="9.6640625" customWidth="1"/>
    <col min="7" max="7" width="9.6640625" customWidth="1"/>
    <col min="8" max="8" width="11.6640625" customWidth="1"/>
    <col min="9" max="9" width="6.6640625" customWidth="1"/>
    <col min="12" max="12" width="9.6640625" hidden="1" customWidth="1"/>
    <col min="260" max="260" width="9.6640625" customWidth="1"/>
    <col min="263" max="263" width="9.6640625" customWidth="1"/>
    <col min="264" max="264" width="11.6640625" customWidth="1"/>
    <col min="265" max="265" width="6.6640625" customWidth="1"/>
    <col min="268" max="268" width="0" hidden="1" customWidth="1"/>
    <col min="516" max="516" width="9.6640625" customWidth="1"/>
    <col min="519" max="519" width="9.6640625" customWidth="1"/>
    <col min="520" max="520" width="11.6640625" customWidth="1"/>
    <col min="521" max="521" width="6.6640625" customWidth="1"/>
    <col min="524" max="524" width="0" hidden="1" customWidth="1"/>
    <col min="772" max="772" width="9.6640625" customWidth="1"/>
    <col min="775" max="775" width="9.6640625" customWidth="1"/>
    <col min="776" max="776" width="11.6640625" customWidth="1"/>
    <col min="777" max="777" width="6.6640625" customWidth="1"/>
    <col min="780" max="780" width="0" hidden="1" customWidth="1"/>
    <col min="1028" max="1028" width="9.6640625" customWidth="1"/>
    <col min="1031" max="1031" width="9.6640625" customWidth="1"/>
    <col min="1032" max="1032" width="11.6640625" customWidth="1"/>
    <col min="1033" max="1033" width="6.6640625" customWidth="1"/>
    <col min="1036" max="1036" width="0" hidden="1" customWidth="1"/>
    <col min="1284" max="1284" width="9.6640625" customWidth="1"/>
    <col min="1287" max="1287" width="9.6640625" customWidth="1"/>
    <col min="1288" max="1288" width="11.6640625" customWidth="1"/>
    <col min="1289" max="1289" width="6.6640625" customWidth="1"/>
    <col min="1292" max="1292" width="0" hidden="1" customWidth="1"/>
    <col min="1540" max="1540" width="9.6640625" customWidth="1"/>
    <col min="1543" max="1543" width="9.6640625" customWidth="1"/>
    <col min="1544" max="1544" width="11.6640625" customWidth="1"/>
    <col min="1545" max="1545" width="6.6640625" customWidth="1"/>
    <col min="1548" max="1548" width="0" hidden="1" customWidth="1"/>
    <col min="1796" max="1796" width="9.6640625" customWidth="1"/>
    <col min="1799" max="1799" width="9.6640625" customWidth="1"/>
    <col min="1800" max="1800" width="11.6640625" customWidth="1"/>
    <col min="1801" max="1801" width="6.6640625" customWidth="1"/>
    <col min="1804" max="1804" width="0" hidden="1" customWidth="1"/>
    <col min="2052" max="2052" width="9.6640625" customWidth="1"/>
    <col min="2055" max="2055" width="9.6640625" customWidth="1"/>
    <col min="2056" max="2056" width="11.6640625" customWidth="1"/>
    <col min="2057" max="2057" width="6.6640625" customWidth="1"/>
    <col min="2060" max="2060" width="0" hidden="1" customWidth="1"/>
    <col min="2308" max="2308" width="9.6640625" customWidth="1"/>
    <col min="2311" max="2311" width="9.6640625" customWidth="1"/>
    <col min="2312" max="2312" width="11.6640625" customWidth="1"/>
    <col min="2313" max="2313" width="6.6640625" customWidth="1"/>
    <col min="2316" max="2316" width="0" hidden="1" customWidth="1"/>
    <col min="2564" max="2564" width="9.6640625" customWidth="1"/>
    <col min="2567" max="2567" width="9.6640625" customWidth="1"/>
    <col min="2568" max="2568" width="11.6640625" customWidth="1"/>
    <col min="2569" max="2569" width="6.6640625" customWidth="1"/>
    <col min="2572" max="2572" width="0" hidden="1" customWidth="1"/>
    <col min="2820" max="2820" width="9.6640625" customWidth="1"/>
    <col min="2823" max="2823" width="9.6640625" customWidth="1"/>
    <col min="2824" max="2824" width="11.6640625" customWidth="1"/>
    <col min="2825" max="2825" width="6.6640625" customWidth="1"/>
    <col min="2828" max="2828" width="0" hidden="1" customWidth="1"/>
    <col min="3076" max="3076" width="9.6640625" customWidth="1"/>
    <col min="3079" max="3079" width="9.6640625" customWidth="1"/>
    <col min="3080" max="3080" width="11.6640625" customWidth="1"/>
    <col min="3081" max="3081" width="6.6640625" customWidth="1"/>
    <col min="3084" max="3084" width="0" hidden="1" customWidth="1"/>
    <col min="3332" max="3332" width="9.6640625" customWidth="1"/>
    <col min="3335" max="3335" width="9.6640625" customWidth="1"/>
    <col min="3336" max="3336" width="11.6640625" customWidth="1"/>
    <col min="3337" max="3337" width="6.6640625" customWidth="1"/>
    <col min="3340" max="3340" width="0" hidden="1" customWidth="1"/>
    <col min="3588" max="3588" width="9.6640625" customWidth="1"/>
    <col min="3591" max="3591" width="9.6640625" customWidth="1"/>
    <col min="3592" max="3592" width="11.6640625" customWidth="1"/>
    <col min="3593" max="3593" width="6.6640625" customWidth="1"/>
    <col min="3596" max="3596" width="0" hidden="1" customWidth="1"/>
    <col min="3844" max="3844" width="9.6640625" customWidth="1"/>
    <col min="3847" max="3847" width="9.6640625" customWidth="1"/>
    <col min="3848" max="3848" width="11.6640625" customWidth="1"/>
    <col min="3849" max="3849" width="6.6640625" customWidth="1"/>
    <col min="3852" max="3852" width="0" hidden="1" customWidth="1"/>
    <col min="4100" max="4100" width="9.6640625" customWidth="1"/>
    <col min="4103" max="4103" width="9.6640625" customWidth="1"/>
    <col min="4104" max="4104" width="11.6640625" customWidth="1"/>
    <col min="4105" max="4105" width="6.6640625" customWidth="1"/>
    <col min="4108" max="4108" width="0" hidden="1" customWidth="1"/>
    <col min="4356" max="4356" width="9.6640625" customWidth="1"/>
    <col min="4359" max="4359" width="9.6640625" customWidth="1"/>
    <col min="4360" max="4360" width="11.6640625" customWidth="1"/>
    <col min="4361" max="4361" width="6.6640625" customWidth="1"/>
    <col min="4364" max="4364" width="0" hidden="1" customWidth="1"/>
    <col min="4612" max="4612" width="9.6640625" customWidth="1"/>
    <col min="4615" max="4615" width="9.6640625" customWidth="1"/>
    <col min="4616" max="4616" width="11.6640625" customWidth="1"/>
    <col min="4617" max="4617" width="6.6640625" customWidth="1"/>
    <col min="4620" max="4620" width="0" hidden="1" customWidth="1"/>
    <col min="4868" max="4868" width="9.6640625" customWidth="1"/>
    <col min="4871" max="4871" width="9.6640625" customWidth="1"/>
    <col min="4872" max="4872" width="11.6640625" customWidth="1"/>
    <col min="4873" max="4873" width="6.6640625" customWidth="1"/>
    <col min="4876" max="4876" width="0" hidden="1" customWidth="1"/>
    <col min="5124" max="5124" width="9.6640625" customWidth="1"/>
    <col min="5127" max="5127" width="9.6640625" customWidth="1"/>
    <col min="5128" max="5128" width="11.6640625" customWidth="1"/>
    <col min="5129" max="5129" width="6.6640625" customWidth="1"/>
    <col min="5132" max="5132" width="0" hidden="1" customWidth="1"/>
    <col min="5380" max="5380" width="9.6640625" customWidth="1"/>
    <col min="5383" max="5383" width="9.6640625" customWidth="1"/>
    <col min="5384" max="5384" width="11.6640625" customWidth="1"/>
    <col min="5385" max="5385" width="6.6640625" customWidth="1"/>
    <col min="5388" max="5388" width="0" hidden="1" customWidth="1"/>
    <col min="5636" max="5636" width="9.6640625" customWidth="1"/>
    <col min="5639" max="5639" width="9.6640625" customWidth="1"/>
    <col min="5640" max="5640" width="11.6640625" customWidth="1"/>
    <col min="5641" max="5641" width="6.6640625" customWidth="1"/>
    <col min="5644" max="5644" width="0" hidden="1" customWidth="1"/>
    <col min="5892" max="5892" width="9.6640625" customWidth="1"/>
    <col min="5895" max="5895" width="9.6640625" customWidth="1"/>
    <col min="5896" max="5896" width="11.6640625" customWidth="1"/>
    <col min="5897" max="5897" width="6.6640625" customWidth="1"/>
    <col min="5900" max="5900" width="0" hidden="1" customWidth="1"/>
    <col min="6148" max="6148" width="9.6640625" customWidth="1"/>
    <col min="6151" max="6151" width="9.6640625" customWidth="1"/>
    <col min="6152" max="6152" width="11.6640625" customWidth="1"/>
    <col min="6153" max="6153" width="6.6640625" customWidth="1"/>
    <col min="6156" max="6156" width="0" hidden="1" customWidth="1"/>
    <col min="6404" max="6404" width="9.6640625" customWidth="1"/>
    <col min="6407" max="6407" width="9.6640625" customWidth="1"/>
    <col min="6408" max="6408" width="11.6640625" customWidth="1"/>
    <col min="6409" max="6409" width="6.6640625" customWidth="1"/>
    <col min="6412" max="6412" width="0" hidden="1" customWidth="1"/>
    <col min="6660" max="6660" width="9.6640625" customWidth="1"/>
    <col min="6663" max="6663" width="9.6640625" customWidth="1"/>
    <col min="6664" max="6664" width="11.6640625" customWidth="1"/>
    <col min="6665" max="6665" width="6.6640625" customWidth="1"/>
    <col min="6668" max="6668" width="0" hidden="1" customWidth="1"/>
    <col min="6916" max="6916" width="9.6640625" customWidth="1"/>
    <col min="6919" max="6919" width="9.6640625" customWidth="1"/>
    <col min="6920" max="6920" width="11.6640625" customWidth="1"/>
    <col min="6921" max="6921" width="6.6640625" customWidth="1"/>
    <col min="6924" max="6924" width="0" hidden="1" customWidth="1"/>
    <col min="7172" max="7172" width="9.6640625" customWidth="1"/>
    <col min="7175" max="7175" width="9.6640625" customWidth="1"/>
    <col min="7176" max="7176" width="11.6640625" customWidth="1"/>
    <col min="7177" max="7177" width="6.6640625" customWidth="1"/>
    <col min="7180" max="7180" width="0" hidden="1" customWidth="1"/>
    <col min="7428" max="7428" width="9.6640625" customWidth="1"/>
    <col min="7431" max="7431" width="9.6640625" customWidth="1"/>
    <col min="7432" max="7432" width="11.6640625" customWidth="1"/>
    <col min="7433" max="7433" width="6.6640625" customWidth="1"/>
    <col min="7436" max="7436" width="0" hidden="1" customWidth="1"/>
    <col min="7684" max="7684" width="9.6640625" customWidth="1"/>
    <col min="7687" max="7687" width="9.6640625" customWidth="1"/>
    <col min="7688" max="7688" width="11.6640625" customWidth="1"/>
    <col min="7689" max="7689" width="6.6640625" customWidth="1"/>
    <col min="7692" max="7692" width="0" hidden="1" customWidth="1"/>
    <col min="7940" max="7940" width="9.6640625" customWidth="1"/>
    <col min="7943" max="7943" width="9.6640625" customWidth="1"/>
    <col min="7944" max="7944" width="11.6640625" customWidth="1"/>
    <col min="7945" max="7945" width="6.6640625" customWidth="1"/>
    <col min="7948" max="7948" width="0" hidden="1" customWidth="1"/>
    <col min="8196" max="8196" width="9.6640625" customWidth="1"/>
    <col min="8199" max="8199" width="9.6640625" customWidth="1"/>
    <col min="8200" max="8200" width="11.6640625" customWidth="1"/>
    <col min="8201" max="8201" width="6.6640625" customWidth="1"/>
    <col min="8204" max="8204" width="0" hidden="1" customWidth="1"/>
    <col min="8452" max="8452" width="9.6640625" customWidth="1"/>
    <col min="8455" max="8455" width="9.6640625" customWidth="1"/>
    <col min="8456" max="8456" width="11.6640625" customWidth="1"/>
    <col min="8457" max="8457" width="6.6640625" customWidth="1"/>
    <col min="8460" max="8460" width="0" hidden="1" customWidth="1"/>
    <col min="8708" max="8708" width="9.6640625" customWidth="1"/>
    <col min="8711" max="8711" width="9.6640625" customWidth="1"/>
    <col min="8712" max="8712" width="11.6640625" customWidth="1"/>
    <col min="8713" max="8713" width="6.6640625" customWidth="1"/>
    <col min="8716" max="8716" width="0" hidden="1" customWidth="1"/>
    <col min="8964" max="8964" width="9.6640625" customWidth="1"/>
    <col min="8967" max="8967" width="9.6640625" customWidth="1"/>
    <col min="8968" max="8968" width="11.6640625" customWidth="1"/>
    <col min="8969" max="8969" width="6.6640625" customWidth="1"/>
    <col min="8972" max="8972" width="0" hidden="1" customWidth="1"/>
    <col min="9220" max="9220" width="9.6640625" customWidth="1"/>
    <col min="9223" max="9223" width="9.6640625" customWidth="1"/>
    <col min="9224" max="9224" width="11.6640625" customWidth="1"/>
    <col min="9225" max="9225" width="6.6640625" customWidth="1"/>
    <col min="9228" max="9228" width="0" hidden="1" customWidth="1"/>
    <col min="9476" max="9476" width="9.6640625" customWidth="1"/>
    <col min="9479" max="9479" width="9.6640625" customWidth="1"/>
    <col min="9480" max="9480" width="11.6640625" customWidth="1"/>
    <col min="9481" max="9481" width="6.6640625" customWidth="1"/>
    <col min="9484" max="9484" width="0" hidden="1" customWidth="1"/>
    <col min="9732" max="9732" width="9.6640625" customWidth="1"/>
    <col min="9735" max="9735" width="9.6640625" customWidth="1"/>
    <col min="9736" max="9736" width="11.6640625" customWidth="1"/>
    <col min="9737" max="9737" width="6.6640625" customWidth="1"/>
    <col min="9740" max="9740" width="0" hidden="1" customWidth="1"/>
    <col min="9988" max="9988" width="9.6640625" customWidth="1"/>
    <col min="9991" max="9991" width="9.6640625" customWidth="1"/>
    <col min="9992" max="9992" width="11.6640625" customWidth="1"/>
    <col min="9993" max="9993" width="6.6640625" customWidth="1"/>
    <col min="9996" max="9996" width="0" hidden="1" customWidth="1"/>
    <col min="10244" max="10244" width="9.6640625" customWidth="1"/>
    <col min="10247" max="10247" width="9.6640625" customWidth="1"/>
    <col min="10248" max="10248" width="11.6640625" customWidth="1"/>
    <col min="10249" max="10249" width="6.6640625" customWidth="1"/>
    <col min="10252" max="10252" width="0" hidden="1" customWidth="1"/>
    <col min="10500" max="10500" width="9.6640625" customWidth="1"/>
    <col min="10503" max="10503" width="9.6640625" customWidth="1"/>
    <col min="10504" max="10504" width="11.6640625" customWidth="1"/>
    <col min="10505" max="10505" width="6.6640625" customWidth="1"/>
    <col min="10508" max="10508" width="0" hidden="1" customWidth="1"/>
    <col min="10756" max="10756" width="9.6640625" customWidth="1"/>
    <col min="10759" max="10759" width="9.6640625" customWidth="1"/>
    <col min="10760" max="10760" width="11.6640625" customWidth="1"/>
    <col min="10761" max="10761" width="6.6640625" customWidth="1"/>
    <col min="10764" max="10764" width="0" hidden="1" customWidth="1"/>
    <col min="11012" max="11012" width="9.6640625" customWidth="1"/>
    <col min="11015" max="11015" width="9.6640625" customWidth="1"/>
    <col min="11016" max="11016" width="11.6640625" customWidth="1"/>
    <col min="11017" max="11017" width="6.6640625" customWidth="1"/>
    <col min="11020" max="11020" width="0" hidden="1" customWidth="1"/>
    <col min="11268" max="11268" width="9.6640625" customWidth="1"/>
    <col min="11271" max="11271" width="9.6640625" customWidth="1"/>
    <col min="11272" max="11272" width="11.6640625" customWidth="1"/>
    <col min="11273" max="11273" width="6.6640625" customWidth="1"/>
    <col min="11276" max="11276" width="0" hidden="1" customWidth="1"/>
    <col min="11524" max="11524" width="9.6640625" customWidth="1"/>
    <col min="11527" max="11527" width="9.6640625" customWidth="1"/>
    <col min="11528" max="11528" width="11.6640625" customWidth="1"/>
    <col min="11529" max="11529" width="6.6640625" customWidth="1"/>
    <col min="11532" max="11532" width="0" hidden="1" customWidth="1"/>
    <col min="11780" max="11780" width="9.6640625" customWidth="1"/>
    <col min="11783" max="11783" width="9.6640625" customWidth="1"/>
    <col min="11784" max="11784" width="11.6640625" customWidth="1"/>
    <col min="11785" max="11785" width="6.6640625" customWidth="1"/>
    <col min="11788" max="11788" width="0" hidden="1" customWidth="1"/>
    <col min="12036" max="12036" width="9.6640625" customWidth="1"/>
    <col min="12039" max="12039" width="9.6640625" customWidth="1"/>
    <col min="12040" max="12040" width="11.6640625" customWidth="1"/>
    <col min="12041" max="12041" width="6.6640625" customWidth="1"/>
    <col min="12044" max="12044" width="0" hidden="1" customWidth="1"/>
    <col min="12292" max="12292" width="9.6640625" customWidth="1"/>
    <col min="12295" max="12295" width="9.6640625" customWidth="1"/>
    <col min="12296" max="12296" width="11.6640625" customWidth="1"/>
    <col min="12297" max="12297" width="6.6640625" customWidth="1"/>
    <col min="12300" max="12300" width="0" hidden="1" customWidth="1"/>
    <col min="12548" max="12548" width="9.6640625" customWidth="1"/>
    <col min="12551" max="12551" width="9.6640625" customWidth="1"/>
    <col min="12552" max="12552" width="11.6640625" customWidth="1"/>
    <col min="12553" max="12553" width="6.6640625" customWidth="1"/>
    <col min="12556" max="12556" width="0" hidden="1" customWidth="1"/>
    <col min="12804" max="12804" width="9.6640625" customWidth="1"/>
    <col min="12807" max="12807" width="9.6640625" customWidth="1"/>
    <col min="12808" max="12808" width="11.6640625" customWidth="1"/>
    <col min="12809" max="12809" width="6.6640625" customWidth="1"/>
    <col min="12812" max="12812" width="0" hidden="1" customWidth="1"/>
    <col min="13060" max="13060" width="9.6640625" customWidth="1"/>
    <col min="13063" max="13063" width="9.6640625" customWidth="1"/>
    <col min="13064" max="13064" width="11.6640625" customWidth="1"/>
    <col min="13065" max="13065" width="6.6640625" customWidth="1"/>
    <col min="13068" max="13068" width="0" hidden="1" customWidth="1"/>
    <col min="13316" max="13316" width="9.6640625" customWidth="1"/>
    <col min="13319" max="13319" width="9.6640625" customWidth="1"/>
    <col min="13320" max="13320" width="11.6640625" customWidth="1"/>
    <col min="13321" max="13321" width="6.6640625" customWidth="1"/>
    <col min="13324" max="13324" width="0" hidden="1" customWidth="1"/>
    <col min="13572" max="13572" width="9.6640625" customWidth="1"/>
    <col min="13575" max="13575" width="9.6640625" customWidth="1"/>
    <col min="13576" max="13576" width="11.6640625" customWidth="1"/>
    <col min="13577" max="13577" width="6.6640625" customWidth="1"/>
    <col min="13580" max="13580" width="0" hidden="1" customWidth="1"/>
    <col min="13828" max="13828" width="9.6640625" customWidth="1"/>
    <col min="13831" max="13831" width="9.6640625" customWidth="1"/>
    <col min="13832" max="13832" width="11.6640625" customWidth="1"/>
    <col min="13833" max="13833" width="6.6640625" customWidth="1"/>
    <col min="13836" max="13836" width="0" hidden="1" customWidth="1"/>
    <col min="14084" max="14084" width="9.6640625" customWidth="1"/>
    <col min="14087" max="14087" width="9.6640625" customWidth="1"/>
    <col min="14088" max="14088" width="11.6640625" customWidth="1"/>
    <col min="14089" max="14089" width="6.6640625" customWidth="1"/>
    <col min="14092" max="14092" width="0" hidden="1" customWidth="1"/>
    <col min="14340" max="14340" width="9.6640625" customWidth="1"/>
    <col min="14343" max="14343" width="9.6640625" customWidth="1"/>
    <col min="14344" max="14344" width="11.6640625" customWidth="1"/>
    <col min="14345" max="14345" width="6.6640625" customWidth="1"/>
    <col min="14348" max="14348" width="0" hidden="1" customWidth="1"/>
    <col min="14596" max="14596" width="9.6640625" customWidth="1"/>
    <col min="14599" max="14599" width="9.6640625" customWidth="1"/>
    <col min="14600" max="14600" width="11.6640625" customWidth="1"/>
    <col min="14601" max="14601" width="6.6640625" customWidth="1"/>
    <col min="14604" max="14604" width="0" hidden="1" customWidth="1"/>
    <col min="14852" max="14852" width="9.6640625" customWidth="1"/>
    <col min="14855" max="14855" width="9.6640625" customWidth="1"/>
    <col min="14856" max="14856" width="11.6640625" customWidth="1"/>
    <col min="14857" max="14857" width="6.6640625" customWidth="1"/>
    <col min="14860" max="14860" width="0" hidden="1" customWidth="1"/>
    <col min="15108" max="15108" width="9.6640625" customWidth="1"/>
    <col min="15111" max="15111" width="9.6640625" customWidth="1"/>
    <col min="15112" max="15112" width="11.6640625" customWidth="1"/>
    <col min="15113" max="15113" width="6.6640625" customWidth="1"/>
    <col min="15116" max="15116" width="0" hidden="1" customWidth="1"/>
    <col min="15364" max="15364" width="9.6640625" customWidth="1"/>
    <col min="15367" max="15367" width="9.6640625" customWidth="1"/>
    <col min="15368" max="15368" width="11.6640625" customWidth="1"/>
    <col min="15369" max="15369" width="6.6640625" customWidth="1"/>
    <col min="15372" max="15372" width="0" hidden="1" customWidth="1"/>
    <col min="15620" max="15620" width="9.6640625" customWidth="1"/>
    <col min="15623" max="15623" width="9.6640625" customWidth="1"/>
    <col min="15624" max="15624" width="11.6640625" customWidth="1"/>
    <col min="15625" max="15625" width="6.6640625" customWidth="1"/>
    <col min="15628" max="15628" width="0" hidden="1" customWidth="1"/>
    <col min="15876" max="15876" width="9.6640625" customWidth="1"/>
    <col min="15879" max="15879" width="9.6640625" customWidth="1"/>
    <col min="15880" max="15880" width="11.6640625" customWidth="1"/>
    <col min="15881" max="15881" width="6.6640625" customWidth="1"/>
    <col min="15884" max="15884" width="0" hidden="1" customWidth="1"/>
    <col min="16132" max="16132" width="9.6640625" customWidth="1"/>
    <col min="16135" max="16135" width="9.6640625" customWidth="1"/>
    <col min="16136" max="16136" width="11.6640625" customWidth="1"/>
    <col min="16137" max="16137" width="6.6640625" customWidth="1"/>
    <col min="16140" max="16140" width="0" hidden="1" customWidth="1"/>
  </cols>
  <sheetData>
    <row r="1" spans="1:12" ht="17.399999999999999">
      <c r="D1" s="43" t="s">
        <v>141</v>
      </c>
    </row>
    <row r="2" spans="1:12" ht="17.399999999999999">
      <c r="D2" s="43" t="s">
        <v>267</v>
      </c>
    </row>
    <row r="3" spans="1:12" ht="12.75" customHeight="1">
      <c r="D3" s="43"/>
    </row>
    <row r="5" spans="1:12">
      <c r="B5" s="44" t="s">
        <v>268</v>
      </c>
      <c r="C5" s="45"/>
      <c r="D5" s="45"/>
      <c r="E5" s="45"/>
      <c r="F5" s="45"/>
      <c r="G5" s="45"/>
      <c r="H5" s="45"/>
      <c r="I5" s="46"/>
    </row>
    <row r="6" spans="1:12">
      <c r="B6" s="47" t="s">
        <v>269</v>
      </c>
      <c r="C6" s="48"/>
      <c r="D6" s="48"/>
      <c r="E6" s="48"/>
      <c r="F6" s="48"/>
      <c r="G6" s="48"/>
      <c r="H6" s="85"/>
      <c r="I6" s="50"/>
      <c r="L6" s="93">
        <v>1</v>
      </c>
    </row>
    <row r="7" spans="1:12">
      <c r="B7" s="47" t="s">
        <v>270</v>
      </c>
      <c r="C7" s="86"/>
      <c r="D7" s="48"/>
      <c r="E7" s="48"/>
      <c r="F7" s="48"/>
      <c r="G7" s="48"/>
      <c r="H7" s="48"/>
      <c r="I7" s="50"/>
      <c r="L7" s="128">
        <v>700000</v>
      </c>
    </row>
    <row r="8" spans="1:12">
      <c r="B8" s="47" t="s">
        <v>271</v>
      </c>
      <c r="C8" s="48"/>
      <c r="D8" s="48"/>
      <c r="E8" s="48"/>
      <c r="F8" s="48"/>
      <c r="G8" s="48"/>
      <c r="H8" s="48"/>
      <c r="I8" s="50"/>
      <c r="L8">
        <v>3</v>
      </c>
    </row>
    <row r="9" spans="1:12">
      <c r="B9" s="185" t="str">
        <f>"Assume that Y Toys uses an interest rate of "&amp;L9&amp;"% per year."</f>
        <v>Assume that Y Toys uses an interest rate of 16% per year.</v>
      </c>
      <c r="C9" s="186"/>
      <c r="D9" s="52"/>
      <c r="E9" s="52"/>
      <c r="F9" s="52"/>
      <c r="G9" s="52"/>
      <c r="H9" s="52"/>
      <c r="I9" s="54"/>
      <c r="L9">
        <v>16</v>
      </c>
    </row>
    <row r="10" spans="1:12">
      <c r="F10" s="187"/>
      <c r="L10" s="65">
        <f>L9/100</f>
        <v>0.16</v>
      </c>
    </row>
    <row r="11" spans="1:12">
      <c r="C11" s="63"/>
    </row>
    <row r="12" spans="1:12" ht="15.6">
      <c r="A12" s="55" t="s">
        <v>118</v>
      </c>
      <c r="B12" s="87" t="s">
        <v>119</v>
      </c>
      <c r="C12" s="60" t="s">
        <v>272</v>
      </c>
      <c r="D12" s="57"/>
      <c r="E12" s="57"/>
      <c r="F12" s="57"/>
      <c r="G12" s="57"/>
      <c r="H12" s="57"/>
      <c r="I12" s="58"/>
      <c r="L12" s="47" t="str">
        <f>"They plan to start construction on the $"&amp;$L$7&amp;" building in "&amp;$L$8&amp;" years from now."</f>
        <v>They plan to start construction on the $700000 building in 3 years from now.</v>
      </c>
    </row>
    <row r="13" spans="1:12" ht="15.6">
      <c r="A13" s="8"/>
      <c r="B13" s="88" t="s">
        <v>119</v>
      </c>
      <c r="C13" s="60" t="s">
        <v>273</v>
      </c>
      <c r="I13" s="61"/>
      <c r="L13" s="47" t="s">
        <v>274</v>
      </c>
    </row>
    <row r="14" spans="1:12" ht="15.6">
      <c r="A14" s="8"/>
      <c r="C14" s="60" t="s">
        <v>120</v>
      </c>
      <c r="I14" s="61"/>
      <c r="L14" s="47" t="str">
        <f>"They will start construction now on the $"&amp;$L$7&amp;" building and in "&amp;$L$8&amp;" years hope to pay for it."</f>
        <v>They will start construction now on the $700000 building and in 3 years hope to pay for it.</v>
      </c>
    </row>
    <row r="15" spans="1:12" ht="15.6">
      <c r="A15" s="89" t="s">
        <v>121</v>
      </c>
      <c r="B15" s="63"/>
      <c r="C15" s="90" t="s">
        <v>122</v>
      </c>
      <c r="D15" s="63"/>
      <c r="E15" s="63"/>
      <c r="F15" s="63"/>
      <c r="G15" s="63"/>
      <c r="H15" s="63"/>
      <c r="I15" s="64"/>
      <c r="L15" s="47" t="s">
        <v>271</v>
      </c>
    </row>
    <row r="18" spans="2:8">
      <c r="F18" s="6"/>
      <c r="G18" s="130"/>
      <c r="H18" s="92"/>
    </row>
    <row r="19" spans="2:8">
      <c r="B19" s="78" t="s">
        <v>275</v>
      </c>
      <c r="C19" s="57"/>
      <c r="D19" s="254"/>
      <c r="H19" s="84"/>
    </row>
    <row r="20" spans="2:8">
      <c r="B20" s="59"/>
      <c r="D20" s="61"/>
      <c r="G20" s="181"/>
      <c r="H20" s="84"/>
    </row>
    <row r="21" spans="2:8">
      <c r="B21" s="59" t="s">
        <v>182</v>
      </c>
      <c r="C21" s="74"/>
      <c r="D21" s="255"/>
      <c r="G21" s="181"/>
      <c r="H21" s="84"/>
    </row>
    <row r="22" spans="2:8">
      <c r="B22" s="59" t="s">
        <v>183</v>
      </c>
      <c r="D22" s="256"/>
      <c r="G22" s="181"/>
      <c r="H22" s="84"/>
    </row>
    <row r="23" spans="2:8">
      <c r="B23" s="62" t="s">
        <v>276</v>
      </c>
      <c r="C23" s="63"/>
      <c r="D23" s="257"/>
      <c r="G23" s="181"/>
      <c r="H23" s="84"/>
    </row>
    <row r="25" spans="2:8">
      <c r="G25" s="65"/>
    </row>
    <row r="26" spans="2:8">
      <c r="H26" s="84"/>
    </row>
    <row r="27" spans="2:8">
      <c r="C27" s="74"/>
    </row>
    <row r="28" spans="2:8">
      <c r="C28" s="74"/>
    </row>
    <row r="29" spans="2:8">
      <c r="C29" s="74"/>
    </row>
    <row r="30" spans="2:8">
      <c r="C30" s="74"/>
    </row>
    <row r="31" spans="2:8">
      <c r="C31" s="74"/>
    </row>
    <row r="32" spans="2:8">
      <c r="C32" s="74"/>
    </row>
    <row r="33" spans="3:3">
      <c r="C33" s="74"/>
    </row>
    <row r="34" spans="3:3">
      <c r="C34" s="74"/>
    </row>
    <row r="35" spans="3:3">
      <c r="C35" s="74"/>
    </row>
    <row r="36" spans="3:3">
      <c r="C36" s="74"/>
    </row>
    <row r="37" spans="3:3">
      <c r="C37" s="74"/>
    </row>
    <row r="38" spans="3:3">
      <c r="C38" s="74"/>
    </row>
    <row r="39" spans="3:3">
      <c r="C39" s="74"/>
    </row>
    <row r="40" spans="3:3">
      <c r="C40" s="74"/>
    </row>
    <row r="41" spans="3:3">
      <c r="C41" s="74"/>
    </row>
    <row r="42" spans="3:3">
      <c r="C42" s="74"/>
    </row>
    <row r="43" spans="3:3">
      <c r="C43" s="74"/>
    </row>
  </sheetData>
  <pageMargins left="0.7" right="0.7" top="0.75" bottom="0.75" header="0.3" footer="0.3"/>
  <legacy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7A672-54D3-40B1-99BC-B033CCA7CBA3}">
  <dimension ref="A1:L43"/>
  <sheetViews>
    <sheetView workbookViewId="0">
      <selection sqref="A1:XFD1048576"/>
    </sheetView>
  </sheetViews>
  <sheetFormatPr defaultRowHeight="14.4"/>
  <cols>
    <col min="4" max="4" width="9.6640625" customWidth="1"/>
    <col min="7" max="7" width="9.6640625" customWidth="1"/>
    <col min="8" max="8" width="11.6640625" customWidth="1"/>
    <col min="9" max="9" width="5.6640625" customWidth="1"/>
    <col min="12" max="12" width="9.109375" hidden="1" customWidth="1"/>
    <col min="260" max="260" width="9.6640625" customWidth="1"/>
    <col min="263" max="263" width="9.6640625" customWidth="1"/>
    <col min="264" max="264" width="11.6640625" customWidth="1"/>
    <col min="265" max="265" width="5.6640625" customWidth="1"/>
    <col min="268" max="268" width="0" hidden="1" customWidth="1"/>
    <col min="516" max="516" width="9.6640625" customWidth="1"/>
    <col min="519" max="519" width="9.6640625" customWidth="1"/>
    <col min="520" max="520" width="11.6640625" customWidth="1"/>
    <col min="521" max="521" width="5.6640625" customWidth="1"/>
    <col min="524" max="524" width="0" hidden="1" customWidth="1"/>
    <col min="772" max="772" width="9.6640625" customWidth="1"/>
    <col min="775" max="775" width="9.6640625" customWidth="1"/>
    <col min="776" max="776" width="11.6640625" customWidth="1"/>
    <col min="777" max="777" width="5.6640625" customWidth="1"/>
    <col min="780" max="780" width="0" hidden="1" customWidth="1"/>
    <col min="1028" max="1028" width="9.6640625" customWidth="1"/>
    <col min="1031" max="1031" width="9.6640625" customWidth="1"/>
    <col min="1032" max="1032" width="11.6640625" customWidth="1"/>
    <col min="1033" max="1033" width="5.6640625" customWidth="1"/>
    <col min="1036" max="1036" width="0" hidden="1" customWidth="1"/>
    <col min="1284" max="1284" width="9.6640625" customWidth="1"/>
    <col min="1287" max="1287" width="9.6640625" customWidth="1"/>
    <col min="1288" max="1288" width="11.6640625" customWidth="1"/>
    <col min="1289" max="1289" width="5.6640625" customWidth="1"/>
    <col min="1292" max="1292" width="0" hidden="1" customWidth="1"/>
    <col min="1540" max="1540" width="9.6640625" customWidth="1"/>
    <col min="1543" max="1543" width="9.6640625" customWidth="1"/>
    <col min="1544" max="1544" width="11.6640625" customWidth="1"/>
    <col min="1545" max="1545" width="5.6640625" customWidth="1"/>
    <col min="1548" max="1548" width="0" hidden="1" customWidth="1"/>
    <col min="1796" max="1796" width="9.6640625" customWidth="1"/>
    <col min="1799" max="1799" width="9.6640625" customWidth="1"/>
    <col min="1800" max="1800" width="11.6640625" customWidth="1"/>
    <col min="1801" max="1801" width="5.6640625" customWidth="1"/>
    <col min="1804" max="1804" width="0" hidden="1" customWidth="1"/>
    <col min="2052" max="2052" width="9.6640625" customWidth="1"/>
    <col min="2055" max="2055" width="9.6640625" customWidth="1"/>
    <col min="2056" max="2056" width="11.6640625" customWidth="1"/>
    <col min="2057" max="2057" width="5.6640625" customWidth="1"/>
    <col min="2060" max="2060" width="0" hidden="1" customWidth="1"/>
    <col min="2308" max="2308" width="9.6640625" customWidth="1"/>
    <col min="2311" max="2311" width="9.6640625" customWidth="1"/>
    <col min="2312" max="2312" width="11.6640625" customWidth="1"/>
    <col min="2313" max="2313" width="5.6640625" customWidth="1"/>
    <col min="2316" max="2316" width="0" hidden="1" customWidth="1"/>
    <col min="2564" max="2564" width="9.6640625" customWidth="1"/>
    <col min="2567" max="2567" width="9.6640625" customWidth="1"/>
    <col min="2568" max="2568" width="11.6640625" customWidth="1"/>
    <col min="2569" max="2569" width="5.6640625" customWidth="1"/>
    <col min="2572" max="2572" width="0" hidden="1" customWidth="1"/>
    <col min="2820" max="2820" width="9.6640625" customWidth="1"/>
    <col min="2823" max="2823" width="9.6640625" customWidth="1"/>
    <col min="2824" max="2824" width="11.6640625" customWidth="1"/>
    <col min="2825" max="2825" width="5.6640625" customWidth="1"/>
    <col min="2828" max="2828" width="0" hidden="1" customWidth="1"/>
    <col min="3076" max="3076" width="9.6640625" customWidth="1"/>
    <col min="3079" max="3079" width="9.6640625" customWidth="1"/>
    <col min="3080" max="3080" width="11.6640625" customWidth="1"/>
    <col min="3081" max="3081" width="5.6640625" customWidth="1"/>
    <col min="3084" max="3084" width="0" hidden="1" customWidth="1"/>
    <col min="3332" max="3332" width="9.6640625" customWidth="1"/>
    <col min="3335" max="3335" width="9.6640625" customWidth="1"/>
    <col min="3336" max="3336" width="11.6640625" customWidth="1"/>
    <col min="3337" max="3337" width="5.6640625" customWidth="1"/>
    <col min="3340" max="3340" width="0" hidden="1" customWidth="1"/>
    <col min="3588" max="3588" width="9.6640625" customWidth="1"/>
    <col min="3591" max="3591" width="9.6640625" customWidth="1"/>
    <col min="3592" max="3592" width="11.6640625" customWidth="1"/>
    <col min="3593" max="3593" width="5.6640625" customWidth="1"/>
    <col min="3596" max="3596" width="0" hidden="1" customWidth="1"/>
    <col min="3844" max="3844" width="9.6640625" customWidth="1"/>
    <col min="3847" max="3847" width="9.6640625" customWidth="1"/>
    <col min="3848" max="3848" width="11.6640625" customWidth="1"/>
    <col min="3849" max="3849" width="5.6640625" customWidth="1"/>
    <col min="3852" max="3852" width="0" hidden="1" customWidth="1"/>
    <col min="4100" max="4100" width="9.6640625" customWidth="1"/>
    <col min="4103" max="4103" width="9.6640625" customWidth="1"/>
    <col min="4104" max="4104" width="11.6640625" customWidth="1"/>
    <col min="4105" max="4105" width="5.6640625" customWidth="1"/>
    <col min="4108" max="4108" width="0" hidden="1" customWidth="1"/>
    <col min="4356" max="4356" width="9.6640625" customWidth="1"/>
    <col min="4359" max="4359" width="9.6640625" customWidth="1"/>
    <col min="4360" max="4360" width="11.6640625" customWidth="1"/>
    <col min="4361" max="4361" width="5.6640625" customWidth="1"/>
    <col min="4364" max="4364" width="0" hidden="1" customWidth="1"/>
    <col min="4612" max="4612" width="9.6640625" customWidth="1"/>
    <col min="4615" max="4615" width="9.6640625" customWidth="1"/>
    <col min="4616" max="4616" width="11.6640625" customWidth="1"/>
    <col min="4617" max="4617" width="5.6640625" customWidth="1"/>
    <col min="4620" max="4620" width="0" hidden="1" customWidth="1"/>
    <col min="4868" max="4868" width="9.6640625" customWidth="1"/>
    <col min="4871" max="4871" width="9.6640625" customWidth="1"/>
    <col min="4872" max="4872" width="11.6640625" customWidth="1"/>
    <col min="4873" max="4873" width="5.6640625" customWidth="1"/>
    <col min="4876" max="4876" width="0" hidden="1" customWidth="1"/>
    <col min="5124" max="5124" width="9.6640625" customWidth="1"/>
    <col min="5127" max="5127" width="9.6640625" customWidth="1"/>
    <col min="5128" max="5128" width="11.6640625" customWidth="1"/>
    <col min="5129" max="5129" width="5.6640625" customWidth="1"/>
    <col min="5132" max="5132" width="0" hidden="1" customWidth="1"/>
    <col min="5380" max="5380" width="9.6640625" customWidth="1"/>
    <col min="5383" max="5383" width="9.6640625" customWidth="1"/>
    <col min="5384" max="5384" width="11.6640625" customWidth="1"/>
    <col min="5385" max="5385" width="5.6640625" customWidth="1"/>
    <col min="5388" max="5388" width="0" hidden="1" customWidth="1"/>
    <col min="5636" max="5636" width="9.6640625" customWidth="1"/>
    <col min="5639" max="5639" width="9.6640625" customWidth="1"/>
    <col min="5640" max="5640" width="11.6640625" customWidth="1"/>
    <col min="5641" max="5641" width="5.6640625" customWidth="1"/>
    <col min="5644" max="5644" width="0" hidden="1" customWidth="1"/>
    <col min="5892" max="5892" width="9.6640625" customWidth="1"/>
    <col min="5895" max="5895" width="9.6640625" customWidth="1"/>
    <col min="5896" max="5896" width="11.6640625" customWidth="1"/>
    <col min="5897" max="5897" width="5.6640625" customWidth="1"/>
    <col min="5900" max="5900" width="0" hidden="1" customWidth="1"/>
    <col min="6148" max="6148" width="9.6640625" customWidth="1"/>
    <col min="6151" max="6151" width="9.6640625" customWidth="1"/>
    <col min="6152" max="6152" width="11.6640625" customWidth="1"/>
    <col min="6153" max="6153" width="5.6640625" customWidth="1"/>
    <col min="6156" max="6156" width="0" hidden="1" customWidth="1"/>
    <col min="6404" max="6404" width="9.6640625" customWidth="1"/>
    <col min="6407" max="6407" width="9.6640625" customWidth="1"/>
    <col min="6408" max="6408" width="11.6640625" customWidth="1"/>
    <col min="6409" max="6409" width="5.6640625" customWidth="1"/>
    <col min="6412" max="6412" width="0" hidden="1" customWidth="1"/>
    <col min="6660" max="6660" width="9.6640625" customWidth="1"/>
    <col min="6663" max="6663" width="9.6640625" customWidth="1"/>
    <col min="6664" max="6664" width="11.6640625" customWidth="1"/>
    <col min="6665" max="6665" width="5.6640625" customWidth="1"/>
    <col min="6668" max="6668" width="0" hidden="1" customWidth="1"/>
    <col min="6916" max="6916" width="9.6640625" customWidth="1"/>
    <col min="6919" max="6919" width="9.6640625" customWidth="1"/>
    <col min="6920" max="6920" width="11.6640625" customWidth="1"/>
    <col min="6921" max="6921" width="5.6640625" customWidth="1"/>
    <col min="6924" max="6924" width="0" hidden="1" customWidth="1"/>
    <col min="7172" max="7172" width="9.6640625" customWidth="1"/>
    <col min="7175" max="7175" width="9.6640625" customWidth="1"/>
    <col min="7176" max="7176" width="11.6640625" customWidth="1"/>
    <col min="7177" max="7177" width="5.6640625" customWidth="1"/>
    <col min="7180" max="7180" width="0" hidden="1" customWidth="1"/>
    <col min="7428" max="7428" width="9.6640625" customWidth="1"/>
    <col min="7431" max="7431" width="9.6640625" customWidth="1"/>
    <col min="7432" max="7432" width="11.6640625" customWidth="1"/>
    <col min="7433" max="7433" width="5.6640625" customWidth="1"/>
    <col min="7436" max="7436" width="0" hidden="1" customWidth="1"/>
    <col min="7684" max="7684" width="9.6640625" customWidth="1"/>
    <col min="7687" max="7687" width="9.6640625" customWidth="1"/>
    <col min="7688" max="7688" width="11.6640625" customWidth="1"/>
    <col min="7689" max="7689" width="5.6640625" customWidth="1"/>
    <col min="7692" max="7692" width="0" hidden="1" customWidth="1"/>
    <col min="7940" max="7940" width="9.6640625" customWidth="1"/>
    <col min="7943" max="7943" width="9.6640625" customWidth="1"/>
    <col min="7944" max="7944" width="11.6640625" customWidth="1"/>
    <col min="7945" max="7945" width="5.6640625" customWidth="1"/>
    <col min="7948" max="7948" width="0" hidden="1" customWidth="1"/>
    <col min="8196" max="8196" width="9.6640625" customWidth="1"/>
    <col min="8199" max="8199" width="9.6640625" customWidth="1"/>
    <col min="8200" max="8200" width="11.6640625" customWidth="1"/>
    <col min="8201" max="8201" width="5.6640625" customWidth="1"/>
    <col min="8204" max="8204" width="0" hidden="1" customWidth="1"/>
    <col min="8452" max="8452" width="9.6640625" customWidth="1"/>
    <col min="8455" max="8455" width="9.6640625" customWidth="1"/>
    <col min="8456" max="8456" width="11.6640625" customWidth="1"/>
    <col min="8457" max="8457" width="5.6640625" customWidth="1"/>
    <col min="8460" max="8460" width="0" hidden="1" customWidth="1"/>
    <col min="8708" max="8708" width="9.6640625" customWidth="1"/>
    <col min="8711" max="8711" width="9.6640625" customWidth="1"/>
    <col min="8712" max="8712" width="11.6640625" customWidth="1"/>
    <col min="8713" max="8713" width="5.6640625" customWidth="1"/>
    <col min="8716" max="8716" width="0" hidden="1" customWidth="1"/>
    <col min="8964" max="8964" width="9.6640625" customWidth="1"/>
    <col min="8967" max="8967" width="9.6640625" customWidth="1"/>
    <col min="8968" max="8968" width="11.6640625" customWidth="1"/>
    <col min="8969" max="8969" width="5.6640625" customWidth="1"/>
    <col min="8972" max="8972" width="0" hidden="1" customWidth="1"/>
    <col min="9220" max="9220" width="9.6640625" customWidth="1"/>
    <col min="9223" max="9223" width="9.6640625" customWidth="1"/>
    <col min="9224" max="9224" width="11.6640625" customWidth="1"/>
    <col min="9225" max="9225" width="5.6640625" customWidth="1"/>
    <col min="9228" max="9228" width="0" hidden="1" customWidth="1"/>
    <col min="9476" max="9476" width="9.6640625" customWidth="1"/>
    <col min="9479" max="9479" width="9.6640625" customWidth="1"/>
    <col min="9480" max="9480" width="11.6640625" customWidth="1"/>
    <col min="9481" max="9481" width="5.6640625" customWidth="1"/>
    <col min="9484" max="9484" width="0" hidden="1" customWidth="1"/>
    <col min="9732" max="9732" width="9.6640625" customWidth="1"/>
    <col min="9735" max="9735" width="9.6640625" customWidth="1"/>
    <col min="9736" max="9736" width="11.6640625" customWidth="1"/>
    <col min="9737" max="9737" width="5.6640625" customWidth="1"/>
    <col min="9740" max="9740" width="0" hidden="1" customWidth="1"/>
    <col min="9988" max="9988" width="9.6640625" customWidth="1"/>
    <col min="9991" max="9991" width="9.6640625" customWidth="1"/>
    <col min="9992" max="9992" width="11.6640625" customWidth="1"/>
    <col min="9993" max="9993" width="5.6640625" customWidth="1"/>
    <col min="9996" max="9996" width="0" hidden="1" customWidth="1"/>
    <col min="10244" max="10244" width="9.6640625" customWidth="1"/>
    <col min="10247" max="10247" width="9.6640625" customWidth="1"/>
    <col min="10248" max="10248" width="11.6640625" customWidth="1"/>
    <col min="10249" max="10249" width="5.6640625" customWidth="1"/>
    <col min="10252" max="10252" width="0" hidden="1" customWidth="1"/>
    <col min="10500" max="10500" width="9.6640625" customWidth="1"/>
    <col min="10503" max="10503" width="9.6640625" customWidth="1"/>
    <col min="10504" max="10504" width="11.6640625" customWidth="1"/>
    <col min="10505" max="10505" width="5.6640625" customWidth="1"/>
    <col min="10508" max="10508" width="0" hidden="1" customWidth="1"/>
    <col min="10756" max="10756" width="9.6640625" customWidth="1"/>
    <col min="10759" max="10759" width="9.6640625" customWidth="1"/>
    <col min="10760" max="10760" width="11.6640625" customWidth="1"/>
    <col min="10761" max="10761" width="5.6640625" customWidth="1"/>
    <col min="10764" max="10764" width="0" hidden="1" customWidth="1"/>
    <col min="11012" max="11012" width="9.6640625" customWidth="1"/>
    <col min="11015" max="11015" width="9.6640625" customWidth="1"/>
    <col min="11016" max="11016" width="11.6640625" customWidth="1"/>
    <col min="11017" max="11017" width="5.6640625" customWidth="1"/>
    <col min="11020" max="11020" width="0" hidden="1" customWidth="1"/>
    <col min="11268" max="11268" width="9.6640625" customWidth="1"/>
    <col min="11271" max="11271" width="9.6640625" customWidth="1"/>
    <col min="11272" max="11272" width="11.6640625" customWidth="1"/>
    <col min="11273" max="11273" width="5.6640625" customWidth="1"/>
    <col min="11276" max="11276" width="0" hidden="1" customWidth="1"/>
    <col min="11524" max="11524" width="9.6640625" customWidth="1"/>
    <col min="11527" max="11527" width="9.6640625" customWidth="1"/>
    <col min="11528" max="11528" width="11.6640625" customWidth="1"/>
    <col min="11529" max="11529" width="5.6640625" customWidth="1"/>
    <col min="11532" max="11532" width="0" hidden="1" customWidth="1"/>
    <col min="11780" max="11780" width="9.6640625" customWidth="1"/>
    <col min="11783" max="11783" width="9.6640625" customWidth="1"/>
    <col min="11784" max="11784" width="11.6640625" customWidth="1"/>
    <col min="11785" max="11785" width="5.6640625" customWidth="1"/>
    <col min="11788" max="11788" width="0" hidden="1" customWidth="1"/>
    <col min="12036" max="12036" width="9.6640625" customWidth="1"/>
    <col min="12039" max="12039" width="9.6640625" customWidth="1"/>
    <col min="12040" max="12040" width="11.6640625" customWidth="1"/>
    <col min="12041" max="12041" width="5.6640625" customWidth="1"/>
    <col min="12044" max="12044" width="0" hidden="1" customWidth="1"/>
    <col min="12292" max="12292" width="9.6640625" customWidth="1"/>
    <col min="12295" max="12295" width="9.6640625" customWidth="1"/>
    <col min="12296" max="12296" width="11.6640625" customWidth="1"/>
    <col min="12297" max="12297" width="5.6640625" customWidth="1"/>
    <col min="12300" max="12300" width="0" hidden="1" customWidth="1"/>
    <col min="12548" max="12548" width="9.6640625" customWidth="1"/>
    <col min="12551" max="12551" width="9.6640625" customWidth="1"/>
    <col min="12552" max="12552" width="11.6640625" customWidth="1"/>
    <col min="12553" max="12553" width="5.6640625" customWidth="1"/>
    <col min="12556" max="12556" width="0" hidden="1" customWidth="1"/>
    <col min="12804" max="12804" width="9.6640625" customWidth="1"/>
    <col min="12807" max="12807" width="9.6640625" customWidth="1"/>
    <col min="12808" max="12808" width="11.6640625" customWidth="1"/>
    <col min="12809" max="12809" width="5.6640625" customWidth="1"/>
    <col min="12812" max="12812" width="0" hidden="1" customWidth="1"/>
    <col min="13060" max="13060" width="9.6640625" customWidth="1"/>
    <col min="13063" max="13063" width="9.6640625" customWidth="1"/>
    <col min="13064" max="13064" width="11.6640625" customWidth="1"/>
    <col min="13065" max="13065" width="5.6640625" customWidth="1"/>
    <col min="13068" max="13068" width="0" hidden="1" customWidth="1"/>
    <col min="13316" max="13316" width="9.6640625" customWidth="1"/>
    <col min="13319" max="13319" width="9.6640625" customWidth="1"/>
    <col min="13320" max="13320" width="11.6640625" customWidth="1"/>
    <col min="13321" max="13321" width="5.6640625" customWidth="1"/>
    <col min="13324" max="13324" width="0" hidden="1" customWidth="1"/>
    <col min="13572" max="13572" width="9.6640625" customWidth="1"/>
    <col min="13575" max="13575" width="9.6640625" customWidth="1"/>
    <col min="13576" max="13576" width="11.6640625" customWidth="1"/>
    <col min="13577" max="13577" width="5.6640625" customWidth="1"/>
    <col min="13580" max="13580" width="0" hidden="1" customWidth="1"/>
    <col min="13828" max="13828" width="9.6640625" customWidth="1"/>
    <col min="13831" max="13831" width="9.6640625" customWidth="1"/>
    <col min="13832" max="13832" width="11.6640625" customWidth="1"/>
    <col min="13833" max="13833" width="5.6640625" customWidth="1"/>
    <col min="13836" max="13836" width="0" hidden="1" customWidth="1"/>
    <col min="14084" max="14084" width="9.6640625" customWidth="1"/>
    <col min="14087" max="14087" width="9.6640625" customWidth="1"/>
    <col min="14088" max="14088" width="11.6640625" customWidth="1"/>
    <col min="14089" max="14089" width="5.6640625" customWidth="1"/>
    <col min="14092" max="14092" width="0" hidden="1" customWidth="1"/>
    <col min="14340" max="14340" width="9.6640625" customWidth="1"/>
    <col min="14343" max="14343" width="9.6640625" customWidth="1"/>
    <col min="14344" max="14344" width="11.6640625" customWidth="1"/>
    <col min="14345" max="14345" width="5.6640625" customWidth="1"/>
    <col min="14348" max="14348" width="0" hidden="1" customWidth="1"/>
    <col min="14596" max="14596" width="9.6640625" customWidth="1"/>
    <col min="14599" max="14599" width="9.6640625" customWidth="1"/>
    <col min="14600" max="14600" width="11.6640625" customWidth="1"/>
    <col min="14601" max="14601" width="5.6640625" customWidth="1"/>
    <col min="14604" max="14604" width="0" hidden="1" customWidth="1"/>
    <col min="14852" max="14852" width="9.6640625" customWidth="1"/>
    <col min="14855" max="14855" width="9.6640625" customWidth="1"/>
    <col min="14856" max="14856" width="11.6640625" customWidth="1"/>
    <col min="14857" max="14857" width="5.6640625" customWidth="1"/>
    <col min="14860" max="14860" width="0" hidden="1" customWidth="1"/>
    <col min="15108" max="15108" width="9.6640625" customWidth="1"/>
    <col min="15111" max="15111" width="9.6640625" customWidth="1"/>
    <col min="15112" max="15112" width="11.6640625" customWidth="1"/>
    <col min="15113" max="15113" width="5.6640625" customWidth="1"/>
    <col min="15116" max="15116" width="0" hidden="1" customWidth="1"/>
    <col min="15364" max="15364" width="9.6640625" customWidth="1"/>
    <col min="15367" max="15367" width="9.6640625" customWidth="1"/>
    <col min="15368" max="15368" width="11.6640625" customWidth="1"/>
    <col min="15369" max="15369" width="5.6640625" customWidth="1"/>
    <col min="15372" max="15372" width="0" hidden="1" customWidth="1"/>
    <col min="15620" max="15620" width="9.6640625" customWidth="1"/>
    <col min="15623" max="15623" width="9.6640625" customWidth="1"/>
    <col min="15624" max="15624" width="11.6640625" customWidth="1"/>
    <col min="15625" max="15625" width="5.6640625" customWidth="1"/>
    <col min="15628" max="15628" width="0" hidden="1" customWidth="1"/>
    <col min="15876" max="15876" width="9.6640625" customWidth="1"/>
    <col min="15879" max="15879" width="9.6640625" customWidth="1"/>
    <col min="15880" max="15880" width="11.6640625" customWidth="1"/>
    <col min="15881" max="15881" width="5.6640625" customWidth="1"/>
    <col min="15884" max="15884" width="0" hidden="1" customWidth="1"/>
    <col min="16132" max="16132" width="9.6640625" customWidth="1"/>
    <col min="16135" max="16135" width="9.6640625" customWidth="1"/>
    <col min="16136" max="16136" width="11.6640625" customWidth="1"/>
    <col min="16137" max="16137" width="5.6640625" customWidth="1"/>
    <col min="16140" max="16140" width="0" hidden="1" customWidth="1"/>
  </cols>
  <sheetData>
    <row r="1" spans="1:12" ht="17.399999999999999">
      <c r="D1" s="43" t="str">
        <f>[18]step1!D1</f>
        <v>Present worth</v>
      </c>
    </row>
    <row r="2" spans="1:12" ht="17.399999999999999">
      <c r="D2" s="43" t="str">
        <f>[18]step1!D2</f>
        <v>Software upgrade problems</v>
      </c>
    </row>
    <row r="5" spans="1:12">
      <c r="B5" s="44" t="str">
        <f>[18]step1!B5</f>
        <v>Z-rocks Mining Co. is considering investing in a new payroll software system.</v>
      </c>
      <c r="C5" s="45"/>
      <c r="D5" s="45"/>
      <c r="E5" s="45"/>
      <c r="F5" s="45"/>
      <c r="G5" s="45"/>
      <c r="H5" s="45"/>
      <c r="I5" s="46"/>
    </row>
    <row r="6" spans="1:12">
      <c r="B6" s="47" t="str">
        <f>[18]step1!B6</f>
        <v>They anticipate annual training costs of $50000 per year for 4 years for this system.</v>
      </c>
      <c r="C6" s="48"/>
      <c r="D6" s="48"/>
      <c r="E6" s="48"/>
      <c r="F6" s="48"/>
      <c r="G6" s="48"/>
      <c r="H6" s="49"/>
      <c r="I6" s="50"/>
    </row>
    <row r="7" spans="1:12">
      <c r="B7" s="47" t="str">
        <f>[18]step1!B7</f>
        <v>As part of their analysis, Z-rocks wants to know the present value of this cost.</v>
      </c>
      <c r="C7" s="48"/>
      <c r="D7" s="48"/>
      <c r="E7" s="48"/>
      <c r="F7" s="48"/>
      <c r="G7" s="48"/>
      <c r="H7" s="48"/>
      <c r="I7" s="50"/>
      <c r="L7" s="179">
        <f>PV($D$21,$D$22,-$D$23)</f>
        <v>139909.03191235164</v>
      </c>
    </row>
    <row r="8" spans="1:12">
      <c r="B8" s="47" t="str">
        <f>[18]step1!B8</f>
        <v>Assume that Z-rocks uses an interest rate of 16% per year.</v>
      </c>
      <c r="C8" s="48"/>
      <c r="D8" s="48"/>
      <c r="E8" s="48"/>
      <c r="F8" s="48"/>
      <c r="G8" s="48"/>
      <c r="H8" s="48"/>
      <c r="I8" s="50"/>
      <c r="L8" s="127" t="s">
        <v>277</v>
      </c>
    </row>
    <row r="9" spans="1:12">
      <c r="B9" s="51"/>
      <c r="C9" s="52"/>
      <c r="D9" s="52"/>
      <c r="E9" s="52"/>
      <c r="F9" s="52"/>
      <c r="G9" s="52"/>
      <c r="H9" s="52"/>
      <c r="I9" s="54"/>
    </row>
    <row r="10" spans="1:12">
      <c r="F10" s="146"/>
      <c r="L10" s="179">
        <f>PV($D$21,$D$22,,-$D$23)</f>
        <v>27614.554894023739</v>
      </c>
    </row>
    <row r="11" spans="1:12">
      <c r="L11" s="127" t="s">
        <v>278</v>
      </c>
    </row>
    <row r="12" spans="1:12" ht="15.6">
      <c r="A12" s="55" t="s">
        <v>97</v>
      </c>
      <c r="B12" s="56"/>
      <c r="C12" s="57"/>
      <c r="D12" s="57"/>
      <c r="E12" s="57"/>
      <c r="F12" s="57"/>
      <c r="G12" s="57"/>
      <c r="H12" s="57"/>
      <c r="I12" s="58"/>
      <c r="L12" s="128"/>
    </row>
    <row r="13" spans="1:12" ht="15.6">
      <c r="A13" s="59"/>
      <c r="B13" s="60" t="s">
        <v>146</v>
      </c>
      <c r="I13" s="61"/>
    </row>
    <row r="14" spans="1:12">
      <c r="A14" s="62"/>
      <c r="B14" s="63"/>
      <c r="C14" s="63"/>
      <c r="D14" s="63"/>
      <c r="E14" s="63"/>
      <c r="F14" s="63"/>
      <c r="G14" s="63"/>
      <c r="H14" s="63"/>
      <c r="I14" s="64"/>
      <c r="L14" s="129"/>
    </row>
    <row r="18" spans="2:12">
      <c r="F18" s="6"/>
      <c r="G18" s="130"/>
      <c r="H18" s="92"/>
    </row>
    <row r="19" spans="2:12">
      <c r="B19" s="78" t="s">
        <v>279</v>
      </c>
      <c r="C19" s="57"/>
      <c r="D19" s="198" t="str">
        <f>IF([18]step1!L6=1,"A","F")</f>
        <v>A</v>
      </c>
      <c r="F19" s="66" t="s">
        <v>280</v>
      </c>
      <c r="G19" s="144"/>
      <c r="H19" s="179">
        <f>PV($D$21,$D$22,-$D$23)</f>
        <v>139909.03191235164</v>
      </c>
    </row>
    <row r="20" spans="2:12">
      <c r="B20" s="59"/>
      <c r="D20" s="61"/>
      <c r="G20" s="181"/>
      <c r="H20" s="127" t="s">
        <v>277</v>
      </c>
      <c r="K20" s="132"/>
      <c r="L20" s="84"/>
    </row>
    <row r="21" spans="2:12">
      <c r="B21" s="59" t="s">
        <v>182</v>
      </c>
      <c r="D21" s="182">
        <f>[18]step1!L10</f>
        <v>0.16</v>
      </c>
      <c r="G21" s="181"/>
      <c r="H21" s="84"/>
    </row>
    <row r="22" spans="2:12">
      <c r="B22" s="59" t="s">
        <v>183</v>
      </c>
      <c r="D22" s="183">
        <f>[18]step1!L8</f>
        <v>4</v>
      </c>
      <c r="G22" s="181"/>
      <c r="H22" s="84"/>
    </row>
    <row r="23" spans="2:12">
      <c r="B23" s="62" t="s">
        <v>276</v>
      </c>
      <c r="C23" s="140"/>
      <c r="D23" s="184">
        <f>[18]step1!L7</f>
        <v>50000</v>
      </c>
      <c r="G23" s="181"/>
      <c r="H23" s="84"/>
    </row>
    <row r="25" spans="2:12">
      <c r="D25" s="128"/>
      <c r="G25" s="65"/>
      <c r="I25" s="76"/>
    </row>
    <row r="26" spans="2:12" ht="17.399999999999999">
      <c r="B26" s="25" t="s">
        <v>117</v>
      </c>
    </row>
    <row r="27" spans="2:12">
      <c r="C27" s="74"/>
    </row>
    <row r="28" spans="2:12">
      <c r="C28" s="74"/>
    </row>
    <row r="29" spans="2:12">
      <c r="C29" s="74"/>
      <c r="G29" s="74"/>
    </row>
    <row r="30" spans="2:12">
      <c r="C30" s="74"/>
    </row>
    <row r="31" spans="2:12">
      <c r="C31" s="74"/>
      <c r="G31" s="65"/>
    </row>
    <row r="32" spans="2:12">
      <c r="C32" s="74"/>
    </row>
    <row r="33" spans="3:8">
      <c r="C33" s="74"/>
      <c r="G33" s="76"/>
      <c r="H33" s="77"/>
    </row>
    <row r="34" spans="3:8">
      <c r="C34" s="74"/>
    </row>
    <row r="35" spans="3:8">
      <c r="C35" s="74"/>
    </row>
    <row r="36" spans="3:8">
      <c r="C36" s="74"/>
    </row>
    <row r="37" spans="3:8">
      <c r="C37" s="74"/>
    </row>
    <row r="38" spans="3:8">
      <c r="C38" s="74"/>
    </row>
    <row r="39" spans="3:8">
      <c r="C39" s="74"/>
    </row>
    <row r="40" spans="3:8">
      <c r="C40" s="74"/>
    </row>
    <row r="41" spans="3:8">
      <c r="C41" s="74"/>
    </row>
    <row r="42" spans="3:8">
      <c r="C42" s="74"/>
    </row>
    <row r="43" spans="3:8">
      <c r="D43" s="76"/>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29F0C-BC09-4FC3-A537-7011FBAFD092}">
  <dimension ref="A1:L43"/>
  <sheetViews>
    <sheetView workbookViewId="0">
      <selection sqref="A1:XFD1048576"/>
    </sheetView>
  </sheetViews>
  <sheetFormatPr defaultRowHeight="14.4"/>
  <cols>
    <col min="4" max="4" width="10.6640625" customWidth="1"/>
    <col min="5" max="5" width="7.6640625" customWidth="1"/>
    <col min="8" max="8" width="10.6640625" customWidth="1"/>
    <col min="9" max="9" width="7.6640625" customWidth="1"/>
    <col min="260" max="260" width="10.6640625" customWidth="1"/>
    <col min="261" max="261" width="7.6640625" customWidth="1"/>
    <col min="264" max="264" width="10.6640625" customWidth="1"/>
    <col min="265" max="265" width="7.6640625" customWidth="1"/>
    <col min="516" max="516" width="10.6640625" customWidth="1"/>
    <col min="517" max="517" width="7.6640625" customWidth="1"/>
    <col min="520" max="520" width="10.6640625" customWidth="1"/>
    <col min="521" max="521" width="7.6640625" customWidth="1"/>
    <col min="772" max="772" width="10.6640625" customWidth="1"/>
    <col min="773" max="773" width="7.6640625" customWidth="1"/>
    <col min="776" max="776" width="10.6640625" customWidth="1"/>
    <col min="777" max="777" width="7.6640625" customWidth="1"/>
    <col min="1028" max="1028" width="10.6640625" customWidth="1"/>
    <col min="1029" max="1029" width="7.6640625" customWidth="1"/>
    <col min="1032" max="1032" width="10.6640625" customWidth="1"/>
    <col min="1033" max="1033" width="7.6640625" customWidth="1"/>
    <col min="1284" max="1284" width="10.6640625" customWidth="1"/>
    <col min="1285" max="1285" width="7.6640625" customWidth="1"/>
    <col min="1288" max="1288" width="10.6640625" customWidth="1"/>
    <col min="1289" max="1289" width="7.6640625" customWidth="1"/>
    <col min="1540" max="1540" width="10.6640625" customWidth="1"/>
    <col min="1541" max="1541" width="7.6640625" customWidth="1"/>
    <col min="1544" max="1544" width="10.6640625" customWidth="1"/>
    <col min="1545" max="1545" width="7.6640625" customWidth="1"/>
    <col min="1796" max="1796" width="10.6640625" customWidth="1"/>
    <col min="1797" max="1797" width="7.6640625" customWidth="1"/>
    <col min="1800" max="1800" width="10.6640625" customWidth="1"/>
    <col min="1801" max="1801" width="7.6640625" customWidth="1"/>
    <col min="2052" max="2052" width="10.6640625" customWidth="1"/>
    <col min="2053" max="2053" width="7.6640625" customWidth="1"/>
    <col min="2056" max="2056" width="10.6640625" customWidth="1"/>
    <col min="2057" max="2057" width="7.6640625" customWidth="1"/>
    <col min="2308" max="2308" width="10.6640625" customWidth="1"/>
    <col min="2309" max="2309" width="7.6640625" customWidth="1"/>
    <col min="2312" max="2312" width="10.6640625" customWidth="1"/>
    <col min="2313" max="2313" width="7.6640625" customWidth="1"/>
    <col min="2564" max="2564" width="10.6640625" customWidth="1"/>
    <col min="2565" max="2565" width="7.6640625" customWidth="1"/>
    <col min="2568" max="2568" width="10.6640625" customWidth="1"/>
    <col min="2569" max="2569" width="7.6640625" customWidth="1"/>
    <col min="2820" max="2820" width="10.6640625" customWidth="1"/>
    <col min="2821" max="2821" width="7.6640625" customWidth="1"/>
    <col min="2824" max="2824" width="10.6640625" customWidth="1"/>
    <col min="2825" max="2825" width="7.6640625" customWidth="1"/>
    <col min="3076" max="3076" width="10.6640625" customWidth="1"/>
    <col min="3077" max="3077" width="7.6640625" customWidth="1"/>
    <col min="3080" max="3080" width="10.6640625" customWidth="1"/>
    <col min="3081" max="3081" width="7.6640625" customWidth="1"/>
    <col min="3332" max="3332" width="10.6640625" customWidth="1"/>
    <col min="3333" max="3333" width="7.6640625" customWidth="1"/>
    <col min="3336" max="3336" width="10.6640625" customWidth="1"/>
    <col min="3337" max="3337" width="7.6640625" customWidth="1"/>
    <col min="3588" max="3588" width="10.6640625" customWidth="1"/>
    <col min="3589" max="3589" width="7.6640625" customWidth="1"/>
    <col min="3592" max="3592" width="10.6640625" customWidth="1"/>
    <col min="3593" max="3593" width="7.6640625" customWidth="1"/>
    <col min="3844" max="3844" width="10.6640625" customWidth="1"/>
    <col min="3845" max="3845" width="7.6640625" customWidth="1"/>
    <col min="3848" max="3848" width="10.6640625" customWidth="1"/>
    <col min="3849" max="3849" width="7.6640625" customWidth="1"/>
    <col min="4100" max="4100" width="10.6640625" customWidth="1"/>
    <col min="4101" max="4101" width="7.6640625" customWidth="1"/>
    <col min="4104" max="4104" width="10.6640625" customWidth="1"/>
    <col min="4105" max="4105" width="7.6640625" customWidth="1"/>
    <col min="4356" max="4356" width="10.6640625" customWidth="1"/>
    <col min="4357" max="4357" width="7.6640625" customWidth="1"/>
    <col min="4360" max="4360" width="10.6640625" customWidth="1"/>
    <col min="4361" max="4361" width="7.6640625" customWidth="1"/>
    <col min="4612" max="4612" width="10.6640625" customWidth="1"/>
    <col min="4613" max="4613" width="7.6640625" customWidth="1"/>
    <col min="4616" max="4616" width="10.6640625" customWidth="1"/>
    <col min="4617" max="4617" width="7.6640625" customWidth="1"/>
    <col min="4868" max="4868" width="10.6640625" customWidth="1"/>
    <col min="4869" max="4869" width="7.6640625" customWidth="1"/>
    <col min="4872" max="4872" width="10.6640625" customWidth="1"/>
    <col min="4873" max="4873" width="7.6640625" customWidth="1"/>
    <col min="5124" max="5124" width="10.6640625" customWidth="1"/>
    <col min="5125" max="5125" width="7.6640625" customWidth="1"/>
    <col min="5128" max="5128" width="10.6640625" customWidth="1"/>
    <col min="5129" max="5129" width="7.6640625" customWidth="1"/>
    <col min="5380" max="5380" width="10.6640625" customWidth="1"/>
    <col min="5381" max="5381" width="7.6640625" customWidth="1"/>
    <col min="5384" max="5384" width="10.6640625" customWidth="1"/>
    <col min="5385" max="5385" width="7.6640625" customWidth="1"/>
    <col min="5636" max="5636" width="10.6640625" customWidth="1"/>
    <col min="5637" max="5637" width="7.6640625" customWidth="1"/>
    <col min="5640" max="5640" width="10.6640625" customWidth="1"/>
    <col min="5641" max="5641" width="7.6640625" customWidth="1"/>
    <col min="5892" max="5892" width="10.6640625" customWidth="1"/>
    <col min="5893" max="5893" width="7.6640625" customWidth="1"/>
    <col min="5896" max="5896" width="10.6640625" customWidth="1"/>
    <col min="5897" max="5897" width="7.6640625" customWidth="1"/>
    <col min="6148" max="6148" width="10.6640625" customWidth="1"/>
    <col min="6149" max="6149" width="7.6640625" customWidth="1"/>
    <col min="6152" max="6152" width="10.6640625" customWidth="1"/>
    <col min="6153" max="6153" width="7.6640625" customWidth="1"/>
    <col min="6404" max="6404" width="10.6640625" customWidth="1"/>
    <col min="6405" max="6405" width="7.6640625" customWidth="1"/>
    <col min="6408" max="6408" width="10.6640625" customWidth="1"/>
    <col min="6409" max="6409" width="7.6640625" customWidth="1"/>
    <col min="6660" max="6660" width="10.6640625" customWidth="1"/>
    <col min="6661" max="6661" width="7.6640625" customWidth="1"/>
    <col min="6664" max="6664" width="10.6640625" customWidth="1"/>
    <col min="6665" max="6665" width="7.6640625" customWidth="1"/>
    <col min="6916" max="6916" width="10.6640625" customWidth="1"/>
    <col min="6917" max="6917" width="7.6640625" customWidth="1"/>
    <col min="6920" max="6920" width="10.6640625" customWidth="1"/>
    <col min="6921" max="6921" width="7.6640625" customWidth="1"/>
    <col min="7172" max="7172" width="10.6640625" customWidth="1"/>
    <col min="7173" max="7173" width="7.6640625" customWidth="1"/>
    <col min="7176" max="7176" width="10.6640625" customWidth="1"/>
    <col min="7177" max="7177" width="7.6640625" customWidth="1"/>
    <col min="7428" max="7428" width="10.6640625" customWidth="1"/>
    <col min="7429" max="7429" width="7.6640625" customWidth="1"/>
    <col min="7432" max="7432" width="10.6640625" customWidth="1"/>
    <col min="7433" max="7433" width="7.6640625" customWidth="1"/>
    <col min="7684" max="7684" width="10.6640625" customWidth="1"/>
    <col min="7685" max="7685" width="7.6640625" customWidth="1"/>
    <col min="7688" max="7688" width="10.6640625" customWidth="1"/>
    <col min="7689" max="7689" width="7.6640625" customWidth="1"/>
    <col min="7940" max="7940" width="10.6640625" customWidth="1"/>
    <col min="7941" max="7941" width="7.6640625" customWidth="1"/>
    <col min="7944" max="7944" width="10.6640625" customWidth="1"/>
    <col min="7945" max="7945" width="7.6640625" customWidth="1"/>
    <col min="8196" max="8196" width="10.6640625" customWidth="1"/>
    <col min="8197" max="8197" width="7.6640625" customWidth="1"/>
    <col min="8200" max="8200" width="10.6640625" customWidth="1"/>
    <col min="8201" max="8201" width="7.6640625" customWidth="1"/>
    <col min="8452" max="8452" width="10.6640625" customWidth="1"/>
    <col min="8453" max="8453" width="7.6640625" customWidth="1"/>
    <col min="8456" max="8456" width="10.6640625" customWidth="1"/>
    <col min="8457" max="8457" width="7.6640625" customWidth="1"/>
    <col min="8708" max="8708" width="10.6640625" customWidth="1"/>
    <col min="8709" max="8709" width="7.6640625" customWidth="1"/>
    <col min="8712" max="8712" width="10.6640625" customWidth="1"/>
    <col min="8713" max="8713" width="7.6640625" customWidth="1"/>
    <col min="8964" max="8964" width="10.6640625" customWidth="1"/>
    <col min="8965" max="8965" width="7.6640625" customWidth="1"/>
    <col min="8968" max="8968" width="10.6640625" customWidth="1"/>
    <col min="8969" max="8969" width="7.6640625" customWidth="1"/>
    <col min="9220" max="9220" width="10.6640625" customWidth="1"/>
    <col min="9221" max="9221" width="7.6640625" customWidth="1"/>
    <col min="9224" max="9224" width="10.6640625" customWidth="1"/>
    <col min="9225" max="9225" width="7.6640625" customWidth="1"/>
    <col min="9476" max="9476" width="10.6640625" customWidth="1"/>
    <col min="9477" max="9477" width="7.6640625" customWidth="1"/>
    <col min="9480" max="9480" width="10.6640625" customWidth="1"/>
    <col min="9481" max="9481" width="7.6640625" customWidth="1"/>
    <col min="9732" max="9732" width="10.6640625" customWidth="1"/>
    <col min="9733" max="9733" width="7.6640625" customWidth="1"/>
    <col min="9736" max="9736" width="10.6640625" customWidth="1"/>
    <col min="9737" max="9737" width="7.6640625" customWidth="1"/>
    <col min="9988" max="9988" width="10.6640625" customWidth="1"/>
    <col min="9989" max="9989" width="7.6640625" customWidth="1"/>
    <col min="9992" max="9992" width="10.6640625" customWidth="1"/>
    <col min="9993" max="9993" width="7.6640625" customWidth="1"/>
    <col min="10244" max="10244" width="10.6640625" customWidth="1"/>
    <col min="10245" max="10245" width="7.6640625" customWidth="1"/>
    <col min="10248" max="10248" width="10.6640625" customWidth="1"/>
    <col min="10249" max="10249" width="7.6640625" customWidth="1"/>
    <col min="10500" max="10500" width="10.6640625" customWidth="1"/>
    <col min="10501" max="10501" width="7.6640625" customWidth="1"/>
    <col min="10504" max="10504" width="10.6640625" customWidth="1"/>
    <col min="10505" max="10505" width="7.6640625" customWidth="1"/>
    <col min="10756" max="10756" width="10.6640625" customWidth="1"/>
    <col min="10757" max="10757" width="7.6640625" customWidth="1"/>
    <col min="10760" max="10760" width="10.6640625" customWidth="1"/>
    <col min="10761" max="10761" width="7.6640625" customWidth="1"/>
    <col min="11012" max="11012" width="10.6640625" customWidth="1"/>
    <col min="11013" max="11013" width="7.6640625" customWidth="1"/>
    <col min="11016" max="11016" width="10.6640625" customWidth="1"/>
    <col min="11017" max="11017" width="7.6640625" customWidth="1"/>
    <col min="11268" max="11268" width="10.6640625" customWidth="1"/>
    <col min="11269" max="11269" width="7.6640625" customWidth="1"/>
    <col min="11272" max="11272" width="10.6640625" customWidth="1"/>
    <col min="11273" max="11273" width="7.6640625" customWidth="1"/>
    <col min="11524" max="11524" width="10.6640625" customWidth="1"/>
    <col min="11525" max="11525" width="7.6640625" customWidth="1"/>
    <col min="11528" max="11528" width="10.6640625" customWidth="1"/>
    <col min="11529" max="11529" width="7.6640625" customWidth="1"/>
    <col min="11780" max="11780" width="10.6640625" customWidth="1"/>
    <col min="11781" max="11781" width="7.6640625" customWidth="1"/>
    <col min="11784" max="11784" width="10.6640625" customWidth="1"/>
    <col min="11785" max="11785" width="7.6640625" customWidth="1"/>
    <col min="12036" max="12036" width="10.6640625" customWidth="1"/>
    <col min="12037" max="12037" width="7.6640625" customWidth="1"/>
    <col min="12040" max="12040" width="10.6640625" customWidth="1"/>
    <col min="12041" max="12041" width="7.6640625" customWidth="1"/>
    <col min="12292" max="12292" width="10.6640625" customWidth="1"/>
    <col min="12293" max="12293" width="7.6640625" customWidth="1"/>
    <col min="12296" max="12296" width="10.6640625" customWidth="1"/>
    <col min="12297" max="12297" width="7.6640625" customWidth="1"/>
    <col min="12548" max="12548" width="10.6640625" customWidth="1"/>
    <col min="12549" max="12549" width="7.6640625" customWidth="1"/>
    <col min="12552" max="12552" width="10.6640625" customWidth="1"/>
    <col min="12553" max="12553" width="7.6640625" customWidth="1"/>
    <col min="12804" max="12804" width="10.6640625" customWidth="1"/>
    <col min="12805" max="12805" width="7.6640625" customWidth="1"/>
    <col min="12808" max="12808" width="10.6640625" customWidth="1"/>
    <col min="12809" max="12809" width="7.6640625" customWidth="1"/>
    <col min="13060" max="13060" width="10.6640625" customWidth="1"/>
    <col min="13061" max="13061" width="7.6640625" customWidth="1"/>
    <col min="13064" max="13064" width="10.6640625" customWidth="1"/>
    <col min="13065" max="13065" width="7.6640625" customWidth="1"/>
    <col min="13316" max="13316" width="10.6640625" customWidth="1"/>
    <col min="13317" max="13317" width="7.6640625" customWidth="1"/>
    <col min="13320" max="13320" width="10.6640625" customWidth="1"/>
    <col min="13321" max="13321" width="7.6640625" customWidth="1"/>
    <col min="13572" max="13572" width="10.6640625" customWidth="1"/>
    <col min="13573" max="13573" width="7.6640625" customWidth="1"/>
    <col min="13576" max="13576" width="10.6640625" customWidth="1"/>
    <col min="13577" max="13577" width="7.6640625" customWidth="1"/>
    <col min="13828" max="13828" width="10.6640625" customWidth="1"/>
    <col min="13829" max="13829" width="7.6640625" customWidth="1"/>
    <col min="13832" max="13832" width="10.6640625" customWidth="1"/>
    <col min="13833" max="13833" width="7.6640625" customWidth="1"/>
    <col min="14084" max="14084" width="10.6640625" customWidth="1"/>
    <col min="14085" max="14085" width="7.6640625" customWidth="1"/>
    <col min="14088" max="14088" width="10.6640625" customWidth="1"/>
    <col min="14089" max="14089" width="7.6640625" customWidth="1"/>
    <col min="14340" max="14340" width="10.6640625" customWidth="1"/>
    <col min="14341" max="14341" width="7.6640625" customWidth="1"/>
    <col min="14344" max="14344" width="10.6640625" customWidth="1"/>
    <col min="14345" max="14345" width="7.6640625" customWidth="1"/>
    <col min="14596" max="14596" width="10.6640625" customWidth="1"/>
    <col min="14597" max="14597" width="7.6640625" customWidth="1"/>
    <col min="14600" max="14600" width="10.6640625" customWidth="1"/>
    <col min="14601" max="14601" width="7.6640625" customWidth="1"/>
    <col min="14852" max="14852" width="10.6640625" customWidth="1"/>
    <col min="14853" max="14853" width="7.6640625" customWidth="1"/>
    <col min="14856" max="14856" width="10.6640625" customWidth="1"/>
    <col min="14857" max="14857" width="7.6640625" customWidth="1"/>
    <col min="15108" max="15108" width="10.6640625" customWidth="1"/>
    <col min="15109" max="15109" width="7.6640625" customWidth="1"/>
    <col min="15112" max="15112" width="10.6640625" customWidth="1"/>
    <col min="15113" max="15113" width="7.6640625" customWidth="1"/>
    <col min="15364" max="15364" width="10.6640625" customWidth="1"/>
    <col min="15365" max="15365" width="7.6640625" customWidth="1"/>
    <col min="15368" max="15368" width="10.6640625" customWidth="1"/>
    <col min="15369" max="15369" width="7.6640625" customWidth="1"/>
    <col min="15620" max="15620" width="10.6640625" customWidth="1"/>
    <col min="15621" max="15621" width="7.6640625" customWidth="1"/>
    <col min="15624" max="15624" width="10.6640625" customWidth="1"/>
    <col min="15625" max="15625" width="7.6640625" customWidth="1"/>
    <col min="15876" max="15876" width="10.6640625" customWidth="1"/>
    <col min="15877" max="15877" width="7.6640625" customWidth="1"/>
    <col min="15880" max="15880" width="10.6640625" customWidth="1"/>
    <col min="15881" max="15881" width="7.6640625" customWidth="1"/>
    <col min="16132" max="16132" width="10.6640625" customWidth="1"/>
    <col min="16133" max="16133" width="7.6640625" customWidth="1"/>
    <col min="16136" max="16136" width="10.6640625" customWidth="1"/>
    <col min="16137" max="16137" width="7.6640625" customWidth="1"/>
  </cols>
  <sheetData>
    <row r="1" spans="1:12" ht="17.399999999999999">
      <c r="D1" s="43" t="str">
        <f>[19]step1!D1</f>
        <v>Present worth analysis</v>
      </c>
    </row>
    <row r="2" spans="1:12" ht="17.399999999999999">
      <c r="D2" s="43" t="str">
        <f>[19]step1!D2</f>
        <v>Lift truck problems</v>
      </c>
    </row>
    <row r="5" spans="1:12">
      <c r="B5" s="44" t="str">
        <f>[19]step1!B5</f>
        <v>Prime Movers needs to replace their aging lift truck in their parts warehouse.  They</v>
      </c>
      <c r="C5" s="45"/>
      <c r="D5" s="45"/>
      <c r="E5" s="45"/>
      <c r="F5" s="45"/>
      <c r="G5" s="45"/>
      <c r="H5" s="45"/>
      <c r="I5" s="46"/>
    </row>
    <row r="6" spans="1:12">
      <c r="B6" s="47" t="str">
        <f>[19]step1!B6</f>
        <v>may stay with an LP gas truck, which has a purchase cost of $30000, annual operating</v>
      </c>
      <c r="C6" s="48"/>
      <c r="D6" s="48"/>
      <c r="E6" s="48"/>
      <c r="F6" s="48"/>
      <c r="G6" s="48"/>
      <c r="H6" s="49"/>
      <c r="I6" s="50"/>
    </row>
    <row r="7" spans="1:12">
      <c r="B7" s="47" t="str">
        <f>[19]step1!B7</f>
        <v>expenses of $6000, and annual maintenance expenses of $11000.  The other alternative</v>
      </c>
      <c r="C7" s="48"/>
      <c r="D7" s="48"/>
      <c r="E7" s="48"/>
      <c r="F7" s="48"/>
      <c r="G7" s="48"/>
      <c r="H7" s="48"/>
      <c r="I7" s="50"/>
    </row>
    <row r="8" spans="1:12">
      <c r="B8" s="47" t="str">
        <f>[19]step1!B8</f>
        <v>is an electric truck which costs $40000 plus recharger cost of $3000.  Annual operating</v>
      </c>
      <c r="C8" s="48"/>
      <c r="D8" s="48"/>
      <c r="E8" s="48"/>
      <c r="F8" s="48"/>
      <c r="G8" s="48"/>
      <c r="H8" s="48"/>
      <c r="I8" s="50"/>
    </row>
    <row r="9" spans="1:12">
      <c r="B9" s="47" t="str">
        <f>[19]step1!B9</f>
        <v>expenses are $8000 and annual maintenance is $2000.  What truck should be bought</v>
      </c>
      <c r="C9" s="48"/>
      <c r="D9" s="48"/>
      <c r="E9" s="48"/>
      <c r="F9" s="48"/>
      <c r="G9" s="48"/>
      <c r="H9" s="48"/>
      <c r="I9" s="50"/>
    </row>
    <row r="10" spans="1:12">
      <c r="B10" s="51" t="str">
        <f>[19]step1!B10</f>
        <v>if each truck lasts 13 years and has salvage value of $8000?  Use an MARR of 18%.</v>
      </c>
      <c r="C10" s="52"/>
      <c r="D10" s="52"/>
      <c r="E10" s="52"/>
      <c r="F10" s="53"/>
      <c r="G10" s="52"/>
      <c r="H10" s="52"/>
      <c r="I10" s="54"/>
    </row>
    <row r="11" spans="1:12">
      <c r="L11" s="128"/>
    </row>
    <row r="12" spans="1:12" ht="15.6">
      <c r="A12" s="55" t="s">
        <v>97</v>
      </c>
      <c r="B12" s="56"/>
      <c r="C12" s="57"/>
      <c r="D12" s="57"/>
      <c r="E12" s="57"/>
      <c r="F12" s="57"/>
      <c r="G12" s="57"/>
      <c r="H12" s="57"/>
      <c r="I12" s="58"/>
      <c r="L12" s="128"/>
    </row>
    <row r="13" spans="1:12" ht="15.6">
      <c r="A13" s="59"/>
      <c r="B13" s="60" t="s">
        <v>194</v>
      </c>
      <c r="I13" s="61"/>
    </row>
    <row r="14" spans="1:12">
      <c r="A14" s="62"/>
      <c r="B14" s="63"/>
      <c r="C14" s="63"/>
      <c r="D14" s="63"/>
      <c r="E14" s="63"/>
      <c r="F14" s="63"/>
      <c r="G14" s="63"/>
      <c r="H14" s="63"/>
      <c r="I14" s="64"/>
    </row>
    <row r="18" spans="2:12">
      <c r="B18" s="93"/>
      <c r="C18" s="93"/>
      <c r="D18" s="258"/>
      <c r="G18" s="93"/>
      <c r="H18" s="70"/>
      <c r="I18" s="93"/>
    </row>
    <row r="19" spans="2:12">
      <c r="C19" s="107"/>
      <c r="D19" s="78" t="s">
        <v>182</v>
      </c>
      <c r="E19" s="57"/>
      <c r="F19" s="116">
        <f>[19]step1!L9</f>
        <v>0.18</v>
      </c>
      <c r="G19" s="109"/>
      <c r="H19" s="110"/>
      <c r="I19" s="93"/>
    </row>
    <row r="20" spans="2:12">
      <c r="C20" s="107"/>
      <c r="D20" s="259" t="s">
        <v>259</v>
      </c>
      <c r="E20" s="260"/>
      <c r="F20" s="215">
        <f>[19]step1!L11</f>
        <v>13</v>
      </c>
      <c r="G20" s="93"/>
      <c r="H20" s="70"/>
      <c r="I20" s="152"/>
      <c r="K20" s="132"/>
      <c r="L20" s="84"/>
    </row>
    <row r="21" spans="2:12">
      <c r="C21" s="107"/>
      <c r="D21" s="111"/>
      <c r="E21" s="107"/>
      <c r="F21" s="70"/>
      <c r="G21" s="218"/>
      <c r="H21" s="70"/>
      <c r="I21" s="93"/>
    </row>
    <row r="22" spans="2:12">
      <c r="B22" s="94" t="s">
        <v>281</v>
      </c>
      <c r="D22" s="111"/>
      <c r="E22" s="107"/>
      <c r="F22" s="94" t="s">
        <v>282</v>
      </c>
      <c r="G22" s="107"/>
      <c r="H22" s="111"/>
      <c r="I22" s="93"/>
    </row>
    <row r="23" spans="2:12">
      <c r="B23" s="93"/>
      <c r="C23" s="107"/>
      <c r="D23" s="111"/>
      <c r="E23" s="107"/>
      <c r="F23" s="93"/>
      <c r="G23" s="107"/>
      <c r="H23" s="111"/>
      <c r="I23" s="93"/>
    </row>
    <row r="24" spans="2:12">
      <c r="B24" s="78" t="s">
        <v>283</v>
      </c>
      <c r="C24" s="112"/>
      <c r="D24" s="114">
        <f>-[19]step1!L1</f>
        <v>-30000</v>
      </c>
      <c r="E24" s="107"/>
      <c r="F24" s="78" t="s">
        <v>283</v>
      </c>
      <c r="G24" s="112"/>
      <c r="H24" s="114">
        <f>-[19]step1!L4-[19]step1!L5</f>
        <v>-43000</v>
      </c>
      <c r="I24" s="160"/>
    </row>
    <row r="25" spans="2:12">
      <c r="B25" s="69"/>
      <c r="C25" s="107"/>
      <c r="D25" s="117"/>
      <c r="E25" s="107"/>
      <c r="F25" s="69"/>
      <c r="G25" s="107"/>
      <c r="H25" s="117"/>
      <c r="I25" s="93"/>
    </row>
    <row r="26" spans="2:12">
      <c r="B26" s="69" t="s">
        <v>224</v>
      </c>
      <c r="C26" s="107"/>
      <c r="D26" s="117">
        <f>-[19]step1!L2-[19]step1!L3</f>
        <v>-17000</v>
      </c>
      <c r="E26" s="107"/>
      <c r="F26" s="69" t="s">
        <v>224</v>
      </c>
      <c r="G26" s="107"/>
      <c r="H26" s="117">
        <f>-[19]step1!L6-[19]step1!L7</f>
        <v>-10000</v>
      </c>
      <c r="I26" s="93"/>
    </row>
    <row r="27" spans="2:12">
      <c r="B27" s="59"/>
      <c r="C27" s="107"/>
      <c r="D27" s="117"/>
      <c r="E27" s="107"/>
      <c r="F27" s="59"/>
      <c r="G27" s="107"/>
      <c r="H27" s="117"/>
      <c r="I27" s="93"/>
    </row>
    <row r="28" spans="2:12">
      <c r="B28" s="62" t="s">
        <v>284</v>
      </c>
      <c r="C28" s="260"/>
      <c r="D28" s="261">
        <f>[19]step1!L12</f>
        <v>8000</v>
      </c>
      <c r="E28" s="107"/>
      <c r="F28" s="62" t="s">
        <v>284</v>
      </c>
      <c r="G28" s="260"/>
      <c r="H28" s="261">
        <f>[19]step1!L12</f>
        <v>8000</v>
      </c>
    </row>
    <row r="29" spans="2:12">
      <c r="C29" s="107"/>
      <c r="D29" s="107"/>
      <c r="G29" s="107"/>
      <c r="H29" s="107"/>
    </row>
    <row r="30" spans="2:12">
      <c r="C30" s="107"/>
      <c r="D30" s="84"/>
      <c r="G30" s="107"/>
      <c r="H30" s="84"/>
    </row>
    <row r="31" spans="2:12">
      <c r="B31" s="93" t="s">
        <v>285</v>
      </c>
      <c r="C31" s="107"/>
      <c r="D31" s="84"/>
      <c r="E31" s="65"/>
      <c r="F31" t="s">
        <v>285</v>
      </c>
      <c r="G31" s="107"/>
      <c r="H31" s="84"/>
    </row>
    <row r="32" spans="2:12">
      <c r="B32" s="78" t="s">
        <v>286</v>
      </c>
      <c r="C32" s="199"/>
      <c r="D32" s="206">
        <f>D24</f>
        <v>-30000</v>
      </c>
      <c r="F32" s="78" t="s">
        <v>286</v>
      </c>
      <c r="G32" s="199"/>
      <c r="H32" s="206">
        <f>H24</f>
        <v>-43000</v>
      </c>
    </row>
    <row r="33" spans="2:8">
      <c r="B33" s="59" t="s">
        <v>287</v>
      </c>
      <c r="D33" s="118">
        <f>PV($F$19,$F$20,-D26)</f>
        <v>-83461.714083301486</v>
      </c>
      <c r="E33" s="106"/>
      <c r="F33" s="59" t="s">
        <v>287</v>
      </c>
      <c r="H33" s="118">
        <f>PV($F$19,$F$20,-H26)</f>
        <v>-49095.125931353818</v>
      </c>
    </row>
    <row r="34" spans="2:8">
      <c r="B34" s="59" t="s">
        <v>108</v>
      </c>
      <c r="C34" s="74"/>
      <c r="D34" s="118">
        <f>PV($F$19,$F$20,,-D28)</f>
        <v>930.30186588505114</v>
      </c>
      <c r="F34" s="59" t="s">
        <v>108</v>
      </c>
      <c r="G34" s="74"/>
      <c r="H34" s="118">
        <f>PV($F$19,$F$20,,-H28)</f>
        <v>930.30186588505114</v>
      </c>
    </row>
    <row r="35" spans="2:8">
      <c r="B35" s="59"/>
      <c r="C35" s="74"/>
      <c r="D35" s="118"/>
      <c r="F35" s="59"/>
      <c r="G35" s="74"/>
      <c r="H35" s="118"/>
    </row>
    <row r="36" spans="2:8">
      <c r="B36" s="100" t="s">
        <v>288</v>
      </c>
      <c r="C36" s="74"/>
      <c r="D36" s="118">
        <f>SUM(D32:D34)</f>
        <v>-112531.41221741644</v>
      </c>
      <c r="F36" s="100" t="s">
        <v>288</v>
      </c>
      <c r="G36" s="74"/>
      <c r="H36" s="118">
        <f>SUM(H32:H34)</f>
        <v>-91164.824065468769</v>
      </c>
    </row>
    <row r="37" spans="2:8">
      <c r="B37" s="59"/>
      <c r="C37" s="74"/>
      <c r="D37" s="61"/>
      <c r="F37" s="59"/>
      <c r="G37" s="74"/>
      <c r="H37" s="61"/>
    </row>
    <row r="38" spans="2:8">
      <c r="B38" s="62" t="s">
        <v>289</v>
      </c>
      <c r="C38" s="140"/>
      <c r="D38" s="123"/>
      <c r="F38" s="62" t="s">
        <v>289</v>
      </c>
      <c r="G38" s="140"/>
      <c r="H38" s="123" t="s">
        <v>130</v>
      </c>
    </row>
    <row r="39" spans="2:8">
      <c r="C39" s="74"/>
    </row>
    <row r="40" spans="2:8">
      <c r="C40" s="74"/>
    </row>
    <row r="41" spans="2:8" ht="17.399999999999999">
      <c r="B41" s="25" t="s">
        <v>117</v>
      </c>
      <c r="C41" s="74"/>
    </row>
    <row r="42" spans="2:8">
      <c r="C42" s="74"/>
    </row>
    <row r="43" spans="2:8">
      <c r="D43" s="76"/>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3A380-FF33-4471-8D19-7CE0630AD5DF}">
  <dimension ref="A1:L66"/>
  <sheetViews>
    <sheetView workbookViewId="0">
      <selection sqref="A1:XFD1048576"/>
    </sheetView>
  </sheetViews>
  <sheetFormatPr defaultRowHeight="14.4"/>
  <cols>
    <col min="3" max="4" width="12.6640625" customWidth="1"/>
    <col min="5" max="5" width="11.6640625" customWidth="1"/>
    <col min="8" max="9" width="5.6640625" customWidth="1"/>
    <col min="259" max="260" width="12.6640625" customWidth="1"/>
    <col min="261" max="261" width="11.6640625" customWidth="1"/>
    <col min="264" max="265" width="5.6640625" customWidth="1"/>
    <col min="515" max="516" width="12.6640625" customWidth="1"/>
    <col min="517" max="517" width="11.6640625" customWidth="1"/>
    <col min="520" max="521" width="5.6640625" customWidth="1"/>
    <col min="771" max="772" width="12.6640625" customWidth="1"/>
    <col min="773" max="773" width="11.6640625" customWidth="1"/>
    <col min="776" max="777" width="5.6640625" customWidth="1"/>
    <col min="1027" max="1028" width="12.6640625" customWidth="1"/>
    <col min="1029" max="1029" width="11.6640625" customWidth="1"/>
    <col min="1032" max="1033" width="5.6640625" customWidth="1"/>
    <col min="1283" max="1284" width="12.6640625" customWidth="1"/>
    <col min="1285" max="1285" width="11.6640625" customWidth="1"/>
    <col min="1288" max="1289" width="5.6640625" customWidth="1"/>
    <col min="1539" max="1540" width="12.6640625" customWidth="1"/>
    <col min="1541" max="1541" width="11.6640625" customWidth="1"/>
    <col min="1544" max="1545" width="5.6640625" customWidth="1"/>
    <col min="1795" max="1796" width="12.6640625" customWidth="1"/>
    <col min="1797" max="1797" width="11.6640625" customWidth="1"/>
    <col min="1800" max="1801" width="5.6640625" customWidth="1"/>
    <col min="2051" max="2052" width="12.6640625" customWidth="1"/>
    <col min="2053" max="2053" width="11.6640625" customWidth="1"/>
    <col min="2056" max="2057" width="5.6640625" customWidth="1"/>
    <col min="2307" max="2308" width="12.6640625" customWidth="1"/>
    <col min="2309" max="2309" width="11.6640625" customWidth="1"/>
    <col min="2312" max="2313" width="5.6640625" customWidth="1"/>
    <col min="2563" max="2564" width="12.6640625" customWidth="1"/>
    <col min="2565" max="2565" width="11.6640625" customWidth="1"/>
    <col min="2568" max="2569" width="5.6640625" customWidth="1"/>
    <col min="2819" max="2820" width="12.6640625" customWidth="1"/>
    <col min="2821" max="2821" width="11.6640625" customWidth="1"/>
    <col min="2824" max="2825" width="5.6640625" customWidth="1"/>
    <col min="3075" max="3076" width="12.6640625" customWidth="1"/>
    <col min="3077" max="3077" width="11.6640625" customWidth="1"/>
    <col min="3080" max="3081" width="5.6640625" customWidth="1"/>
    <col min="3331" max="3332" width="12.6640625" customWidth="1"/>
    <col min="3333" max="3333" width="11.6640625" customWidth="1"/>
    <col min="3336" max="3337" width="5.6640625" customWidth="1"/>
    <col min="3587" max="3588" width="12.6640625" customWidth="1"/>
    <col min="3589" max="3589" width="11.6640625" customWidth="1"/>
    <col min="3592" max="3593" width="5.6640625" customWidth="1"/>
    <col min="3843" max="3844" width="12.6640625" customWidth="1"/>
    <col min="3845" max="3845" width="11.6640625" customWidth="1"/>
    <col min="3848" max="3849" width="5.6640625" customWidth="1"/>
    <col min="4099" max="4100" width="12.6640625" customWidth="1"/>
    <col min="4101" max="4101" width="11.6640625" customWidth="1"/>
    <col min="4104" max="4105" width="5.6640625" customWidth="1"/>
    <col min="4355" max="4356" width="12.6640625" customWidth="1"/>
    <col min="4357" max="4357" width="11.6640625" customWidth="1"/>
    <col min="4360" max="4361" width="5.6640625" customWidth="1"/>
    <col min="4611" max="4612" width="12.6640625" customWidth="1"/>
    <col min="4613" max="4613" width="11.6640625" customWidth="1"/>
    <col min="4616" max="4617" width="5.6640625" customWidth="1"/>
    <col min="4867" max="4868" width="12.6640625" customWidth="1"/>
    <col min="4869" max="4869" width="11.6640625" customWidth="1"/>
    <col min="4872" max="4873" width="5.6640625" customWidth="1"/>
    <col min="5123" max="5124" width="12.6640625" customWidth="1"/>
    <col min="5125" max="5125" width="11.6640625" customWidth="1"/>
    <col min="5128" max="5129" width="5.6640625" customWidth="1"/>
    <col min="5379" max="5380" width="12.6640625" customWidth="1"/>
    <col min="5381" max="5381" width="11.6640625" customWidth="1"/>
    <col min="5384" max="5385" width="5.6640625" customWidth="1"/>
    <col min="5635" max="5636" width="12.6640625" customWidth="1"/>
    <col min="5637" max="5637" width="11.6640625" customWidth="1"/>
    <col min="5640" max="5641" width="5.6640625" customWidth="1"/>
    <col min="5891" max="5892" width="12.6640625" customWidth="1"/>
    <col min="5893" max="5893" width="11.6640625" customWidth="1"/>
    <col min="5896" max="5897" width="5.6640625" customWidth="1"/>
    <col min="6147" max="6148" width="12.6640625" customWidth="1"/>
    <col min="6149" max="6149" width="11.6640625" customWidth="1"/>
    <col min="6152" max="6153" width="5.6640625" customWidth="1"/>
    <col min="6403" max="6404" width="12.6640625" customWidth="1"/>
    <col min="6405" max="6405" width="11.6640625" customWidth="1"/>
    <col min="6408" max="6409" width="5.6640625" customWidth="1"/>
    <col min="6659" max="6660" width="12.6640625" customWidth="1"/>
    <col min="6661" max="6661" width="11.6640625" customWidth="1"/>
    <col min="6664" max="6665" width="5.6640625" customWidth="1"/>
    <col min="6915" max="6916" width="12.6640625" customWidth="1"/>
    <col min="6917" max="6917" width="11.6640625" customWidth="1"/>
    <col min="6920" max="6921" width="5.6640625" customWidth="1"/>
    <col min="7171" max="7172" width="12.6640625" customWidth="1"/>
    <col min="7173" max="7173" width="11.6640625" customWidth="1"/>
    <col min="7176" max="7177" width="5.6640625" customWidth="1"/>
    <col min="7427" max="7428" width="12.6640625" customWidth="1"/>
    <col min="7429" max="7429" width="11.6640625" customWidth="1"/>
    <col min="7432" max="7433" width="5.6640625" customWidth="1"/>
    <col min="7683" max="7684" width="12.6640625" customWidth="1"/>
    <col min="7685" max="7685" width="11.6640625" customWidth="1"/>
    <col min="7688" max="7689" width="5.6640625" customWidth="1"/>
    <col min="7939" max="7940" width="12.6640625" customWidth="1"/>
    <col min="7941" max="7941" width="11.6640625" customWidth="1"/>
    <col min="7944" max="7945" width="5.6640625" customWidth="1"/>
    <col min="8195" max="8196" width="12.6640625" customWidth="1"/>
    <col min="8197" max="8197" width="11.6640625" customWidth="1"/>
    <col min="8200" max="8201" width="5.6640625" customWidth="1"/>
    <col min="8451" max="8452" width="12.6640625" customWidth="1"/>
    <col min="8453" max="8453" width="11.6640625" customWidth="1"/>
    <col min="8456" max="8457" width="5.6640625" customWidth="1"/>
    <col min="8707" max="8708" width="12.6640625" customWidth="1"/>
    <col min="8709" max="8709" width="11.6640625" customWidth="1"/>
    <col min="8712" max="8713" width="5.6640625" customWidth="1"/>
    <col min="8963" max="8964" width="12.6640625" customWidth="1"/>
    <col min="8965" max="8965" width="11.6640625" customWidth="1"/>
    <col min="8968" max="8969" width="5.6640625" customWidth="1"/>
    <col min="9219" max="9220" width="12.6640625" customWidth="1"/>
    <col min="9221" max="9221" width="11.6640625" customWidth="1"/>
    <col min="9224" max="9225" width="5.6640625" customWidth="1"/>
    <col min="9475" max="9476" width="12.6640625" customWidth="1"/>
    <col min="9477" max="9477" width="11.6640625" customWidth="1"/>
    <col min="9480" max="9481" width="5.6640625" customWidth="1"/>
    <col min="9731" max="9732" width="12.6640625" customWidth="1"/>
    <col min="9733" max="9733" width="11.6640625" customWidth="1"/>
    <col min="9736" max="9737" width="5.6640625" customWidth="1"/>
    <col min="9987" max="9988" width="12.6640625" customWidth="1"/>
    <col min="9989" max="9989" width="11.6640625" customWidth="1"/>
    <col min="9992" max="9993" width="5.6640625" customWidth="1"/>
    <col min="10243" max="10244" width="12.6640625" customWidth="1"/>
    <col min="10245" max="10245" width="11.6640625" customWidth="1"/>
    <col min="10248" max="10249" width="5.6640625" customWidth="1"/>
    <col min="10499" max="10500" width="12.6640625" customWidth="1"/>
    <col min="10501" max="10501" width="11.6640625" customWidth="1"/>
    <col min="10504" max="10505" width="5.6640625" customWidth="1"/>
    <col min="10755" max="10756" width="12.6640625" customWidth="1"/>
    <col min="10757" max="10757" width="11.6640625" customWidth="1"/>
    <col min="10760" max="10761" width="5.6640625" customWidth="1"/>
    <col min="11011" max="11012" width="12.6640625" customWidth="1"/>
    <col min="11013" max="11013" width="11.6640625" customWidth="1"/>
    <col min="11016" max="11017" width="5.6640625" customWidth="1"/>
    <col min="11267" max="11268" width="12.6640625" customWidth="1"/>
    <col min="11269" max="11269" width="11.6640625" customWidth="1"/>
    <col min="11272" max="11273" width="5.6640625" customWidth="1"/>
    <col min="11523" max="11524" width="12.6640625" customWidth="1"/>
    <col min="11525" max="11525" width="11.6640625" customWidth="1"/>
    <col min="11528" max="11529" width="5.6640625" customWidth="1"/>
    <col min="11779" max="11780" width="12.6640625" customWidth="1"/>
    <col min="11781" max="11781" width="11.6640625" customWidth="1"/>
    <col min="11784" max="11785" width="5.6640625" customWidth="1"/>
    <col min="12035" max="12036" width="12.6640625" customWidth="1"/>
    <col min="12037" max="12037" width="11.6640625" customWidth="1"/>
    <col min="12040" max="12041" width="5.6640625" customWidth="1"/>
    <col min="12291" max="12292" width="12.6640625" customWidth="1"/>
    <col min="12293" max="12293" width="11.6640625" customWidth="1"/>
    <col min="12296" max="12297" width="5.6640625" customWidth="1"/>
    <col min="12547" max="12548" width="12.6640625" customWidth="1"/>
    <col min="12549" max="12549" width="11.6640625" customWidth="1"/>
    <col min="12552" max="12553" width="5.6640625" customWidth="1"/>
    <col min="12803" max="12804" width="12.6640625" customWidth="1"/>
    <col min="12805" max="12805" width="11.6640625" customWidth="1"/>
    <col min="12808" max="12809" width="5.6640625" customWidth="1"/>
    <col min="13059" max="13060" width="12.6640625" customWidth="1"/>
    <col min="13061" max="13061" width="11.6640625" customWidth="1"/>
    <col min="13064" max="13065" width="5.6640625" customWidth="1"/>
    <col min="13315" max="13316" width="12.6640625" customWidth="1"/>
    <col min="13317" max="13317" width="11.6640625" customWidth="1"/>
    <col min="13320" max="13321" width="5.6640625" customWidth="1"/>
    <col min="13571" max="13572" width="12.6640625" customWidth="1"/>
    <col min="13573" max="13573" width="11.6640625" customWidth="1"/>
    <col min="13576" max="13577" width="5.6640625" customWidth="1"/>
    <col min="13827" max="13828" width="12.6640625" customWidth="1"/>
    <col min="13829" max="13829" width="11.6640625" customWidth="1"/>
    <col min="13832" max="13833" width="5.6640625" customWidth="1"/>
    <col min="14083" max="14084" width="12.6640625" customWidth="1"/>
    <col min="14085" max="14085" width="11.6640625" customWidth="1"/>
    <col min="14088" max="14089" width="5.6640625" customWidth="1"/>
    <col min="14339" max="14340" width="12.6640625" customWidth="1"/>
    <col min="14341" max="14341" width="11.6640625" customWidth="1"/>
    <col min="14344" max="14345" width="5.6640625" customWidth="1"/>
    <col min="14595" max="14596" width="12.6640625" customWidth="1"/>
    <col min="14597" max="14597" width="11.6640625" customWidth="1"/>
    <col min="14600" max="14601" width="5.6640625" customWidth="1"/>
    <col min="14851" max="14852" width="12.6640625" customWidth="1"/>
    <col min="14853" max="14853" width="11.6640625" customWidth="1"/>
    <col min="14856" max="14857" width="5.6640625" customWidth="1"/>
    <col min="15107" max="15108" width="12.6640625" customWidth="1"/>
    <col min="15109" max="15109" width="11.6640625" customWidth="1"/>
    <col min="15112" max="15113" width="5.6640625" customWidth="1"/>
    <col min="15363" max="15364" width="12.6640625" customWidth="1"/>
    <col min="15365" max="15365" width="11.6640625" customWidth="1"/>
    <col min="15368" max="15369" width="5.6640625" customWidth="1"/>
    <col min="15619" max="15620" width="12.6640625" customWidth="1"/>
    <col min="15621" max="15621" width="11.6640625" customWidth="1"/>
    <col min="15624" max="15625" width="5.6640625" customWidth="1"/>
    <col min="15875" max="15876" width="12.6640625" customWidth="1"/>
    <col min="15877" max="15877" width="11.6640625" customWidth="1"/>
    <col min="15880" max="15881" width="5.6640625" customWidth="1"/>
    <col min="16131" max="16132" width="12.6640625" customWidth="1"/>
    <col min="16133" max="16133" width="11.6640625" customWidth="1"/>
    <col min="16136" max="16137" width="5.6640625" customWidth="1"/>
  </cols>
  <sheetData>
    <row r="1" spans="1:12" ht="17.399999999999999">
      <c r="D1" s="43" t="str">
        <f>[20]step1!D1</f>
        <v>Present worth analysis - Unequal years</v>
      </c>
    </row>
    <row r="2" spans="1:12" ht="17.399999999999999">
      <c r="D2" s="43" t="str">
        <f>[20]step1!D2</f>
        <v>RFID system problems</v>
      </c>
    </row>
    <row r="5" spans="1:12">
      <c r="B5" s="44" t="str">
        <f>[20]step1!B5</f>
        <v>Flor-mart plans to invest in RFID for their cashiers in the checkout lanes.  High Frequency</v>
      </c>
      <c r="C5" s="45"/>
      <c r="D5" s="45"/>
      <c r="E5" s="45"/>
      <c r="F5" s="45"/>
      <c r="G5" s="45"/>
      <c r="H5" s="45"/>
      <c r="I5" s="46"/>
    </row>
    <row r="6" spans="1:12">
      <c r="B6" s="47" t="str">
        <f>[20]step1!B6</f>
        <v>(HF) readers are less expensive but become obsolete sooner.  They cost $20000 to buy</v>
      </c>
      <c r="C6" s="48"/>
      <c r="D6" s="48"/>
      <c r="E6" s="48"/>
      <c r="F6" s="48"/>
      <c r="G6" s="48"/>
      <c r="H6" s="49"/>
      <c r="I6" s="50"/>
    </row>
    <row r="7" spans="1:12">
      <c r="B7" s="47" t="str">
        <f>[20]step1!B7</f>
        <v>and have annual maintenance expenses of $7000.  They are expected to last 3 years.</v>
      </c>
      <c r="C7" s="48"/>
      <c r="D7" s="48"/>
      <c r="E7" s="48"/>
      <c r="F7" s="48"/>
      <c r="G7" s="48"/>
      <c r="H7" s="48"/>
      <c r="I7" s="50"/>
    </row>
    <row r="8" spans="1:12">
      <c r="B8" s="47" t="str">
        <f>[20]step1!B8</f>
        <v>UHF readers cost $35000 and have $4000 annual maintenance costs, but they are</v>
      </c>
      <c r="C8" s="48"/>
      <c r="D8" s="48"/>
      <c r="E8" s="48"/>
      <c r="F8" s="48"/>
      <c r="G8" s="48"/>
      <c r="H8" s="48"/>
      <c r="I8" s="50"/>
    </row>
    <row r="9" spans="1:12">
      <c r="B9" s="47" t="str">
        <f>[20]step1!B9</f>
        <v>expected to last 4 years.  Neither reader has any salvage value.  What reader should be</v>
      </c>
      <c r="C9" s="48"/>
      <c r="D9" s="48"/>
      <c r="E9" s="48"/>
      <c r="F9" s="48"/>
      <c r="G9" s="48"/>
      <c r="H9" s="48"/>
      <c r="I9" s="50"/>
    </row>
    <row r="10" spans="1:12">
      <c r="B10" s="51" t="str">
        <f>[20]step1!B10</f>
        <v>bought if the company MARR is 18% ?</v>
      </c>
      <c r="C10" s="52"/>
      <c r="D10" s="52"/>
      <c r="E10" s="52"/>
      <c r="F10" s="53"/>
      <c r="G10" s="52"/>
      <c r="H10" s="52"/>
      <c r="I10" s="54"/>
    </row>
    <row r="11" spans="1:12">
      <c r="L11" s="128"/>
    </row>
    <row r="12" spans="1:12" ht="15.6">
      <c r="A12" s="55" t="s">
        <v>97</v>
      </c>
      <c r="B12" s="56"/>
      <c r="C12" s="57"/>
      <c r="D12" s="57"/>
      <c r="E12" s="57"/>
      <c r="F12" s="57"/>
      <c r="G12" s="57"/>
      <c r="H12" s="57"/>
      <c r="I12" s="58"/>
      <c r="L12" s="128"/>
    </row>
    <row r="13" spans="1:12" ht="15.6">
      <c r="A13" s="59"/>
      <c r="B13" s="60" t="s">
        <v>194</v>
      </c>
      <c r="I13" s="61"/>
    </row>
    <row r="14" spans="1:12">
      <c r="A14" s="62"/>
      <c r="B14" s="63"/>
      <c r="C14" s="63"/>
      <c r="D14" s="63"/>
      <c r="E14" s="63"/>
      <c r="F14" s="63"/>
      <c r="G14" s="63"/>
      <c r="H14" s="63"/>
      <c r="I14" s="64"/>
    </row>
    <row r="18" spans="2:12">
      <c r="B18" s="93"/>
      <c r="C18" s="93"/>
      <c r="D18" s="258"/>
      <c r="G18" s="93"/>
      <c r="H18" s="70"/>
      <c r="I18" s="93"/>
    </row>
    <row r="19" spans="2:12">
      <c r="B19" s="94" t="s">
        <v>290</v>
      </c>
      <c r="C19" s="107"/>
      <c r="F19" s="108"/>
      <c r="G19" s="109"/>
      <c r="H19" s="110"/>
      <c r="I19" s="93"/>
    </row>
    <row r="20" spans="2:12">
      <c r="C20" s="107"/>
      <c r="D20" s="111"/>
      <c r="E20" s="107"/>
      <c r="F20" s="93"/>
      <c r="G20" s="93"/>
      <c r="H20" s="70"/>
      <c r="I20" s="152"/>
      <c r="K20" s="132"/>
      <c r="L20" s="84"/>
    </row>
    <row r="21" spans="2:12">
      <c r="B21" s="78" t="s">
        <v>99</v>
      </c>
      <c r="C21" s="112" t="s">
        <v>291</v>
      </c>
      <c r="D21" s="113" t="s">
        <v>135</v>
      </c>
      <c r="E21" s="114" t="s">
        <v>136</v>
      </c>
      <c r="F21" s="70"/>
      <c r="G21" s="262" t="s">
        <v>137</v>
      </c>
      <c r="H21" s="263">
        <f>[20]step1!L9</f>
        <v>0.18</v>
      </c>
      <c r="I21" s="93"/>
    </row>
    <row r="22" spans="2:12">
      <c r="B22" s="69">
        <v>0</v>
      </c>
      <c r="C22" s="84">
        <v>20000</v>
      </c>
      <c r="D22" s="107"/>
      <c r="E22" s="117">
        <f>C22+D22</f>
        <v>20000</v>
      </c>
      <c r="F22" s="94"/>
      <c r="G22" s="107"/>
      <c r="H22" s="111"/>
      <c r="I22" s="93"/>
    </row>
    <row r="23" spans="2:12">
      <c r="B23" s="69">
        <v>1</v>
      </c>
      <c r="C23" s="107"/>
      <c r="D23" s="107">
        <v>7000</v>
      </c>
      <c r="E23" s="117">
        <f t="shared" ref="E23:E37" si="0">C23+D23</f>
        <v>7000</v>
      </c>
      <c r="F23" s="93"/>
      <c r="G23" s="107"/>
      <c r="H23" s="111"/>
      <c r="I23" s="93"/>
    </row>
    <row r="24" spans="2:12">
      <c r="B24" s="69">
        <v>2</v>
      </c>
      <c r="C24" s="107"/>
      <c r="D24" s="107">
        <v>7000</v>
      </c>
      <c r="E24" s="117">
        <f t="shared" si="0"/>
        <v>7000</v>
      </c>
      <c r="G24" s="107"/>
      <c r="H24" s="107"/>
      <c r="I24" s="160"/>
    </row>
    <row r="25" spans="2:12">
      <c r="B25" s="69">
        <v>3</v>
      </c>
      <c r="C25" s="107">
        <v>20000</v>
      </c>
      <c r="D25" s="107">
        <v>7000</v>
      </c>
      <c r="E25" s="117">
        <f t="shared" si="0"/>
        <v>27000</v>
      </c>
      <c r="F25" s="93"/>
      <c r="G25" s="107"/>
      <c r="H25" s="107"/>
      <c r="I25" s="93"/>
    </row>
    <row r="26" spans="2:12">
      <c r="B26" s="69">
        <v>4</v>
      </c>
      <c r="C26" s="107"/>
      <c r="D26" s="107">
        <v>7000</v>
      </c>
      <c r="E26" s="117">
        <f t="shared" si="0"/>
        <v>7000</v>
      </c>
      <c r="F26" s="93"/>
      <c r="G26" s="107"/>
      <c r="H26" s="107"/>
      <c r="I26" s="93"/>
    </row>
    <row r="27" spans="2:12">
      <c r="B27" s="69">
        <v>5</v>
      </c>
      <c r="C27" s="107"/>
      <c r="D27" s="107">
        <v>7000</v>
      </c>
      <c r="E27" s="117">
        <f t="shared" si="0"/>
        <v>7000</v>
      </c>
      <c r="G27" s="107"/>
      <c r="H27" s="107"/>
      <c r="I27" s="93"/>
    </row>
    <row r="28" spans="2:12">
      <c r="B28" s="69">
        <v>6</v>
      </c>
      <c r="C28" s="107">
        <v>20000</v>
      </c>
      <c r="D28" s="107">
        <v>7000</v>
      </c>
      <c r="E28" s="117">
        <f t="shared" si="0"/>
        <v>27000</v>
      </c>
      <c r="G28" s="107"/>
      <c r="H28" s="107"/>
    </row>
    <row r="29" spans="2:12">
      <c r="B29" s="69">
        <v>7</v>
      </c>
      <c r="C29" s="107"/>
      <c r="D29" s="107">
        <v>7000</v>
      </c>
      <c r="E29" s="117">
        <f t="shared" si="0"/>
        <v>7000</v>
      </c>
      <c r="G29" s="107"/>
      <c r="H29" s="107"/>
    </row>
    <row r="30" spans="2:12">
      <c r="B30" s="69">
        <v>8</v>
      </c>
      <c r="C30" s="107"/>
      <c r="D30" s="107">
        <v>7000</v>
      </c>
      <c r="E30" s="117">
        <f t="shared" si="0"/>
        <v>7000</v>
      </c>
      <c r="G30" s="107"/>
      <c r="H30" s="84"/>
    </row>
    <row r="31" spans="2:12">
      <c r="B31" s="69">
        <v>9</v>
      </c>
      <c r="C31" s="107">
        <v>20000</v>
      </c>
      <c r="D31" s="107">
        <v>7000</v>
      </c>
      <c r="E31" s="117">
        <f t="shared" si="0"/>
        <v>27000</v>
      </c>
      <c r="G31" s="107"/>
      <c r="H31" s="84"/>
    </row>
    <row r="32" spans="2:12">
      <c r="B32" s="69">
        <v>10</v>
      </c>
      <c r="C32" s="84"/>
      <c r="D32" s="107">
        <v>7000</v>
      </c>
      <c r="E32" s="117">
        <f t="shared" si="0"/>
        <v>7000</v>
      </c>
      <c r="G32" s="74"/>
      <c r="H32" s="84"/>
    </row>
    <row r="33" spans="2:8">
      <c r="B33" s="69">
        <v>11</v>
      </c>
      <c r="C33" s="84"/>
      <c r="D33" s="107">
        <v>7000</v>
      </c>
      <c r="E33" s="117">
        <f t="shared" si="0"/>
        <v>7000</v>
      </c>
      <c r="H33" s="84"/>
    </row>
    <row r="34" spans="2:8">
      <c r="B34" s="69">
        <v>12</v>
      </c>
      <c r="C34" s="84"/>
      <c r="D34" s="107">
        <v>7000</v>
      </c>
      <c r="E34" s="117">
        <f t="shared" si="0"/>
        <v>7000</v>
      </c>
      <c r="G34" s="74"/>
      <c r="H34" s="84"/>
    </row>
    <row r="35" spans="2:8">
      <c r="B35" s="69">
        <v>13</v>
      </c>
      <c r="C35" s="84"/>
      <c r="D35" s="84"/>
      <c r="E35" s="117">
        <f t="shared" si="0"/>
        <v>0</v>
      </c>
      <c r="G35" s="74"/>
      <c r="H35" s="84"/>
    </row>
    <row r="36" spans="2:8">
      <c r="B36" s="69">
        <v>14</v>
      </c>
      <c r="C36" s="84"/>
      <c r="D36" s="84"/>
      <c r="E36" s="117">
        <f t="shared" si="0"/>
        <v>0</v>
      </c>
      <c r="F36" s="24"/>
      <c r="G36" s="74"/>
      <c r="H36" s="84"/>
    </row>
    <row r="37" spans="2:8">
      <c r="B37" s="69">
        <v>15</v>
      </c>
      <c r="C37" s="84"/>
      <c r="D37" s="84"/>
      <c r="E37" s="117">
        <f t="shared" si="0"/>
        <v>0</v>
      </c>
      <c r="G37" s="74"/>
    </row>
    <row r="38" spans="2:8">
      <c r="B38" s="59"/>
      <c r="C38" s="84"/>
      <c r="D38" s="84"/>
      <c r="E38" s="118"/>
      <c r="G38" s="74"/>
    </row>
    <row r="39" spans="2:8">
      <c r="B39" s="62"/>
      <c r="C39" s="97"/>
      <c r="D39" s="124" t="s">
        <v>292</v>
      </c>
      <c r="E39" s="96">
        <f>E22+NPV($H$21,E23:E37)</f>
        <v>77642.943675612245</v>
      </c>
      <c r="F39" s="24" t="s">
        <v>129</v>
      </c>
      <c r="G39" s="101" t="s">
        <v>130</v>
      </c>
    </row>
    <row r="40" spans="2:8">
      <c r="B40" s="125"/>
      <c r="C40" s="107"/>
      <c r="D40" s="84"/>
      <c r="E40" s="119" t="s">
        <v>293</v>
      </c>
    </row>
    <row r="41" spans="2:8">
      <c r="C41" s="107"/>
      <c r="D41" s="107"/>
      <c r="E41" s="107"/>
    </row>
    <row r="42" spans="2:8">
      <c r="B42" s="94" t="s">
        <v>294</v>
      </c>
      <c r="C42" s="107"/>
      <c r="D42" s="84"/>
      <c r="E42" s="84"/>
      <c r="F42" s="108"/>
      <c r="G42" s="109"/>
    </row>
    <row r="43" spans="2:8">
      <c r="C43" s="107"/>
      <c r="D43" s="107"/>
      <c r="E43" s="107"/>
      <c r="F43" s="93"/>
      <c r="G43" s="93"/>
    </row>
    <row r="44" spans="2:8">
      <c r="B44" s="78" t="s">
        <v>99</v>
      </c>
      <c r="C44" s="112" t="s">
        <v>291</v>
      </c>
      <c r="D44" s="112" t="s">
        <v>135</v>
      </c>
      <c r="E44" s="114" t="s">
        <v>136</v>
      </c>
      <c r="F44" s="70"/>
      <c r="G44" s="218"/>
    </row>
    <row r="45" spans="2:8">
      <c r="B45" s="69">
        <v>0</v>
      </c>
      <c r="C45" s="84">
        <v>35000</v>
      </c>
      <c r="D45" s="107"/>
      <c r="E45" s="117">
        <f>C45+D45</f>
        <v>35000</v>
      </c>
      <c r="F45" s="94"/>
      <c r="G45" s="107"/>
    </row>
    <row r="46" spans="2:8">
      <c r="B46" s="69">
        <v>1</v>
      </c>
      <c r="C46" s="107"/>
      <c r="D46" s="107">
        <v>4000</v>
      </c>
      <c r="E46" s="117">
        <f t="shared" ref="E46:E60" si="1">C46+D46</f>
        <v>4000</v>
      </c>
      <c r="F46" s="93"/>
      <c r="G46" s="107"/>
    </row>
    <row r="47" spans="2:8">
      <c r="B47" s="69">
        <v>2</v>
      </c>
      <c r="C47" s="107"/>
      <c r="D47" s="107">
        <v>4000</v>
      </c>
      <c r="E47" s="117">
        <f t="shared" si="1"/>
        <v>4000</v>
      </c>
      <c r="G47" s="107"/>
    </row>
    <row r="48" spans="2:8">
      <c r="B48" s="69">
        <v>3</v>
      </c>
      <c r="C48" s="107"/>
      <c r="D48" s="107">
        <v>4000</v>
      </c>
      <c r="E48" s="117">
        <f t="shared" si="1"/>
        <v>4000</v>
      </c>
      <c r="F48" s="93"/>
      <c r="G48" s="107"/>
    </row>
    <row r="49" spans="2:7">
      <c r="B49" s="69">
        <v>4</v>
      </c>
      <c r="C49" s="107">
        <v>35000</v>
      </c>
      <c r="D49" s="107">
        <v>4000</v>
      </c>
      <c r="E49" s="117">
        <f t="shared" si="1"/>
        <v>39000</v>
      </c>
      <c r="F49" s="93"/>
      <c r="G49" s="107"/>
    </row>
    <row r="50" spans="2:7">
      <c r="B50" s="69">
        <v>5</v>
      </c>
      <c r="C50" s="107"/>
      <c r="D50" s="107">
        <v>4000</v>
      </c>
      <c r="E50" s="117">
        <f t="shared" si="1"/>
        <v>4000</v>
      </c>
      <c r="G50" s="107"/>
    </row>
    <row r="51" spans="2:7">
      <c r="B51" s="69">
        <v>6</v>
      </c>
      <c r="C51" s="107"/>
      <c r="D51" s="107">
        <v>4000</v>
      </c>
      <c r="E51" s="117">
        <f t="shared" si="1"/>
        <v>4000</v>
      </c>
      <c r="G51" s="107"/>
    </row>
    <row r="52" spans="2:7">
      <c r="B52" s="69">
        <v>7</v>
      </c>
      <c r="C52" s="107"/>
      <c r="D52" s="107">
        <v>4000</v>
      </c>
      <c r="E52" s="117">
        <f t="shared" si="1"/>
        <v>4000</v>
      </c>
      <c r="G52" s="107"/>
    </row>
    <row r="53" spans="2:7">
      <c r="B53" s="69">
        <v>8</v>
      </c>
      <c r="C53" s="107">
        <v>35000</v>
      </c>
      <c r="D53" s="107">
        <v>4000</v>
      </c>
      <c r="E53" s="117">
        <f t="shared" si="1"/>
        <v>39000</v>
      </c>
      <c r="G53" s="107"/>
    </row>
    <row r="54" spans="2:7">
      <c r="B54" s="69">
        <v>9</v>
      </c>
      <c r="C54" s="107"/>
      <c r="D54" s="107">
        <v>4000</v>
      </c>
      <c r="E54" s="117">
        <f t="shared" si="1"/>
        <v>4000</v>
      </c>
      <c r="G54" s="107"/>
    </row>
    <row r="55" spans="2:7">
      <c r="B55" s="69">
        <v>10</v>
      </c>
      <c r="C55" s="84"/>
      <c r="D55" s="107">
        <v>4000</v>
      </c>
      <c r="E55" s="117">
        <f t="shared" si="1"/>
        <v>4000</v>
      </c>
      <c r="G55" s="74"/>
    </row>
    <row r="56" spans="2:7">
      <c r="B56" s="69">
        <v>11</v>
      </c>
      <c r="C56" s="84"/>
      <c r="D56" s="107">
        <v>4000</v>
      </c>
      <c r="E56" s="117">
        <f t="shared" si="1"/>
        <v>4000</v>
      </c>
    </row>
    <row r="57" spans="2:7">
      <c r="B57" s="69">
        <v>12</v>
      </c>
      <c r="C57" s="84"/>
      <c r="D57" s="107">
        <v>4000</v>
      </c>
      <c r="E57" s="117">
        <f t="shared" si="1"/>
        <v>4000</v>
      </c>
      <c r="G57" s="74"/>
    </row>
    <row r="58" spans="2:7">
      <c r="B58" s="69">
        <v>13</v>
      </c>
      <c r="C58" s="84"/>
      <c r="D58" s="84"/>
      <c r="E58" s="117">
        <f t="shared" si="1"/>
        <v>0</v>
      </c>
      <c r="G58" s="74"/>
    </row>
    <row r="59" spans="2:7">
      <c r="B59" s="69">
        <v>14</v>
      </c>
      <c r="C59" s="84"/>
      <c r="D59" s="84"/>
      <c r="E59" s="117">
        <f t="shared" si="1"/>
        <v>0</v>
      </c>
      <c r="F59" s="24"/>
      <c r="G59" s="74"/>
    </row>
    <row r="60" spans="2:7">
      <c r="B60" s="69">
        <v>15</v>
      </c>
      <c r="C60" s="84"/>
      <c r="D60" s="84"/>
      <c r="E60" s="117">
        <f t="shared" si="1"/>
        <v>0</v>
      </c>
      <c r="G60" s="74"/>
    </row>
    <row r="61" spans="2:7">
      <c r="B61" s="59"/>
      <c r="C61" s="84"/>
      <c r="D61" s="84"/>
      <c r="E61" s="118"/>
      <c r="G61" s="74"/>
    </row>
    <row r="62" spans="2:7">
      <c r="B62" s="62"/>
      <c r="C62" s="97"/>
      <c r="D62" s="124" t="s">
        <v>292</v>
      </c>
      <c r="E62" s="96">
        <f>E45+NPV($H$21,E46:E60)</f>
        <v>81536.845800484618</v>
      </c>
      <c r="F62" s="24" t="s">
        <v>129</v>
      </c>
      <c r="G62" s="101"/>
    </row>
    <row r="63" spans="2:7">
      <c r="E63" s="119" t="s">
        <v>295</v>
      </c>
    </row>
    <row r="66" spans="2:2" ht="17.399999999999999">
      <c r="B66" s="25" t="s">
        <v>117</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A10BD-8480-417F-B88B-7BEB06478E77}">
  <dimension ref="A1:J55"/>
  <sheetViews>
    <sheetView workbookViewId="0">
      <selection sqref="A1:XFD1048576"/>
    </sheetView>
  </sheetViews>
  <sheetFormatPr defaultRowHeight="14.4"/>
  <cols>
    <col min="2" max="2" width="9.6640625" customWidth="1"/>
    <col min="3" max="4" width="11.6640625" customWidth="1"/>
    <col min="7" max="7" width="4.6640625" customWidth="1"/>
    <col min="8" max="8" width="12.6640625" customWidth="1"/>
    <col min="9" max="9" width="9.6640625" customWidth="1"/>
    <col min="258" max="258" width="9.6640625" customWidth="1"/>
    <col min="259" max="260" width="11.6640625" customWidth="1"/>
    <col min="263" max="263" width="4.6640625" customWidth="1"/>
    <col min="264" max="264" width="12.6640625" customWidth="1"/>
    <col min="265" max="265" width="9.6640625" customWidth="1"/>
    <col min="514" max="514" width="9.6640625" customWidth="1"/>
    <col min="515" max="516" width="11.6640625" customWidth="1"/>
    <col min="519" max="519" width="4.6640625" customWidth="1"/>
    <col min="520" max="520" width="12.6640625" customWidth="1"/>
    <col min="521" max="521" width="9.6640625" customWidth="1"/>
    <col min="770" max="770" width="9.6640625" customWidth="1"/>
    <col min="771" max="772" width="11.6640625" customWidth="1"/>
    <col min="775" max="775" width="4.6640625" customWidth="1"/>
    <col min="776" max="776" width="12.6640625" customWidth="1"/>
    <col min="777" max="777" width="9.6640625" customWidth="1"/>
    <col min="1026" max="1026" width="9.6640625" customWidth="1"/>
    <col min="1027" max="1028" width="11.6640625" customWidth="1"/>
    <col min="1031" max="1031" width="4.6640625" customWidth="1"/>
    <col min="1032" max="1032" width="12.6640625" customWidth="1"/>
    <col min="1033" max="1033" width="9.6640625" customWidth="1"/>
    <col min="1282" max="1282" width="9.6640625" customWidth="1"/>
    <col min="1283" max="1284" width="11.6640625" customWidth="1"/>
    <col min="1287" max="1287" width="4.6640625" customWidth="1"/>
    <col min="1288" max="1288" width="12.6640625" customWidth="1"/>
    <col min="1289" max="1289" width="9.6640625" customWidth="1"/>
    <col min="1538" max="1538" width="9.6640625" customWidth="1"/>
    <col min="1539" max="1540" width="11.6640625" customWidth="1"/>
    <col min="1543" max="1543" width="4.6640625" customWidth="1"/>
    <col min="1544" max="1544" width="12.6640625" customWidth="1"/>
    <col min="1545" max="1545" width="9.6640625" customWidth="1"/>
    <col min="1794" max="1794" width="9.6640625" customWidth="1"/>
    <col min="1795" max="1796" width="11.6640625" customWidth="1"/>
    <col min="1799" max="1799" width="4.6640625" customWidth="1"/>
    <col min="1800" max="1800" width="12.6640625" customWidth="1"/>
    <col min="1801" max="1801" width="9.6640625" customWidth="1"/>
    <col min="2050" max="2050" width="9.6640625" customWidth="1"/>
    <col min="2051" max="2052" width="11.6640625" customWidth="1"/>
    <col min="2055" max="2055" width="4.6640625" customWidth="1"/>
    <col min="2056" max="2056" width="12.6640625" customWidth="1"/>
    <col min="2057" max="2057" width="9.6640625" customWidth="1"/>
    <col min="2306" max="2306" width="9.6640625" customWidth="1"/>
    <col min="2307" max="2308" width="11.6640625" customWidth="1"/>
    <col min="2311" max="2311" width="4.6640625" customWidth="1"/>
    <col min="2312" max="2312" width="12.6640625" customWidth="1"/>
    <col min="2313" max="2313" width="9.6640625" customWidth="1"/>
    <col min="2562" max="2562" width="9.6640625" customWidth="1"/>
    <col min="2563" max="2564" width="11.6640625" customWidth="1"/>
    <col min="2567" max="2567" width="4.6640625" customWidth="1"/>
    <col min="2568" max="2568" width="12.6640625" customWidth="1"/>
    <col min="2569" max="2569" width="9.6640625" customWidth="1"/>
    <col min="2818" max="2818" width="9.6640625" customWidth="1"/>
    <col min="2819" max="2820" width="11.6640625" customWidth="1"/>
    <col min="2823" max="2823" width="4.6640625" customWidth="1"/>
    <col min="2824" max="2824" width="12.6640625" customWidth="1"/>
    <col min="2825" max="2825" width="9.6640625" customWidth="1"/>
    <col min="3074" max="3074" width="9.6640625" customWidth="1"/>
    <col min="3075" max="3076" width="11.6640625" customWidth="1"/>
    <col min="3079" max="3079" width="4.6640625" customWidth="1"/>
    <col min="3080" max="3080" width="12.6640625" customWidth="1"/>
    <col min="3081" max="3081" width="9.6640625" customWidth="1"/>
    <col min="3330" max="3330" width="9.6640625" customWidth="1"/>
    <col min="3331" max="3332" width="11.6640625" customWidth="1"/>
    <col min="3335" max="3335" width="4.6640625" customWidth="1"/>
    <col min="3336" max="3336" width="12.6640625" customWidth="1"/>
    <col min="3337" max="3337" width="9.6640625" customWidth="1"/>
    <col min="3586" max="3586" width="9.6640625" customWidth="1"/>
    <col min="3587" max="3588" width="11.6640625" customWidth="1"/>
    <col min="3591" max="3591" width="4.6640625" customWidth="1"/>
    <col min="3592" max="3592" width="12.6640625" customWidth="1"/>
    <col min="3593" max="3593" width="9.6640625" customWidth="1"/>
    <col min="3842" max="3842" width="9.6640625" customWidth="1"/>
    <col min="3843" max="3844" width="11.6640625" customWidth="1"/>
    <col min="3847" max="3847" width="4.6640625" customWidth="1"/>
    <col min="3848" max="3848" width="12.6640625" customWidth="1"/>
    <col min="3849" max="3849" width="9.6640625" customWidth="1"/>
    <col min="4098" max="4098" width="9.6640625" customWidth="1"/>
    <col min="4099" max="4100" width="11.6640625" customWidth="1"/>
    <col min="4103" max="4103" width="4.6640625" customWidth="1"/>
    <col min="4104" max="4104" width="12.6640625" customWidth="1"/>
    <col min="4105" max="4105" width="9.6640625" customWidth="1"/>
    <col min="4354" max="4354" width="9.6640625" customWidth="1"/>
    <col min="4355" max="4356" width="11.6640625" customWidth="1"/>
    <col min="4359" max="4359" width="4.6640625" customWidth="1"/>
    <col min="4360" max="4360" width="12.6640625" customWidth="1"/>
    <col min="4361" max="4361" width="9.6640625" customWidth="1"/>
    <col min="4610" max="4610" width="9.6640625" customWidth="1"/>
    <col min="4611" max="4612" width="11.6640625" customWidth="1"/>
    <col min="4615" max="4615" width="4.6640625" customWidth="1"/>
    <col min="4616" max="4616" width="12.6640625" customWidth="1"/>
    <col min="4617" max="4617" width="9.6640625" customWidth="1"/>
    <col min="4866" max="4866" width="9.6640625" customWidth="1"/>
    <col min="4867" max="4868" width="11.6640625" customWidth="1"/>
    <col min="4871" max="4871" width="4.6640625" customWidth="1"/>
    <col min="4872" max="4872" width="12.6640625" customWidth="1"/>
    <col min="4873" max="4873" width="9.6640625" customWidth="1"/>
    <col min="5122" max="5122" width="9.6640625" customWidth="1"/>
    <col min="5123" max="5124" width="11.6640625" customWidth="1"/>
    <col min="5127" max="5127" width="4.6640625" customWidth="1"/>
    <col min="5128" max="5128" width="12.6640625" customWidth="1"/>
    <col min="5129" max="5129" width="9.6640625" customWidth="1"/>
    <col min="5378" max="5378" width="9.6640625" customWidth="1"/>
    <col min="5379" max="5380" width="11.6640625" customWidth="1"/>
    <col min="5383" max="5383" width="4.6640625" customWidth="1"/>
    <col min="5384" max="5384" width="12.6640625" customWidth="1"/>
    <col min="5385" max="5385" width="9.6640625" customWidth="1"/>
    <col min="5634" max="5634" width="9.6640625" customWidth="1"/>
    <col min="5635" max="5636" width="11.6640625" customWidth="1"/>
    <col min="5639" max="5639" width="4.6640625" customWidth="1"/>
    <col min="5640" max="5640" width="12.6640625" customWidth="1"/>
    <col min="5641" max="5641" width="9.6640625" customWidth="1"/>
    <col min="5890" max="5890" width="9.6640625" customWidth="1"/>
    <col min="5891" max="5892" width="11.6640625" customWidth="1"/>
    <col min="5895" max="5895" width="4.6640625" customWidth="1"/>
    <col min="5896" max="5896" width="12.6640625" customWidth="1"/>
    <col min="5897" max="5897" width="9.6640625" customWidth="1"/>
    <col min="6146" max="6146" width="9.6640625" customWidth="1"/>
    <col min="6147" max="6148" width="11.6640625" customWidth="1"/>
    <col min="6151" max="6151" width="4.6640625" customWidth="1"/>
    <col min="6152" max="6152" width="12.6640625" customWidth="1"/>
    <col min="6153" max="6153" width="9.6640625" customWidth="1"/>
    <col min="6402" max="6402" width="9.6640625" customWidth="1"/>
    <col min="6403" max="6404" width="11.6640625" customWidth="1"/>
    <col min="6407" max="6407" width="4.6640625" customWidth="1"/>
    <col min="6408" max="6408" width="12.6640625" customWidth="1"/>
    <col min="6409" max="6409" width="9.6640625" customWidth="1"/>
    <col min="6658" max="6658" width="9.6640625" customWidth="1"/>
    <col min="6659" max="6660" width="11.6640625" customWidth="1"/>
    <col min="6663" max="6663" width="4.6640625" customWidth="1"/>
    <col min="6664" max="6664" width="12.6640625" customWidth="1"/>
    <col min="6665" max="6665" width="9.6640625" customWidth="1"/>
    <col min="6914" max="6914" width="9.6640625" customWidth="1"/>
    <col min="6915" max="6916" width="11.6640625" customWidth="1"/>
    <col min="6919" max="6919" width="4.6640625" customWidth="1"/>
    <col min="6920" max="6920" width="12.6640625" customWidth="1"/>
    <col min="6921" max="6921" width="9.6640625" customWidth="1"/>
    <col min="7170" max="7170" width="9.6640625" customWidth="1"/>
    <col min="7171" max="7172" width="11.6640625" customWidth="1"/>
    <col min="7175" max="7175" width="4.6640625" customWidth="1"/>
    <col min="7176" max="7176" width="12.6640625" customWidth="1"/>
    <col min="7177" max="7177" width="9.6640625" customWidth="1"/>
    <col min="7426" max="7426" width="9.6640625" customWidth="1"/>
    <col min="7427" max="7428" width="11.6640625" customWidth="1"/>
    <col min="7431" max="7431" width="4.6640625" customWidth="1"/>
    <col min="7432" max="7432" width="12.6640625" customWidth="1"/>
    <col min="7433" max="7433" width="9.6640625" customWidth="1"/>
    <col min="7682" max="7682" width="9.6640625" customWidth="1"/>
    <col min="7683" max="7684" width="11.6640625" customWidth="1"/>
    <col min="7687" max="7687" width="4.6640625" customWidth="1"/>
    <col min="7688" max="7688" width="12.6640625" customWidth="1"/>
    <col min="7689" max="7689" width="9.6640625" customWidth="1"/>
    <col min="7938" max="7938" width="9.6640625" customWidth="1"/>
    <col min="7939" max="7940" width="11.6640625" customWidth="1"/>
    <col min="7943" max="7943" width="4.6640625" customWidth="1"/>
    <col min="7944" max="7944" width="12.6640625" customWidth="1"/>
    <col min="7945" max="7945" width="9.6640625" customWidth="1"/>
    <col min="8194" max="8194" width="9.6640625" customWidth="1"/>
    <col min="8195" max="8196" width="11.6640625" customWidth="1"/>
    <col min="8199" max="8199" width="4.6640625" customWidth="1"/>
    <col min="8200" max="8200" width="12.6640625" customWidth="1"/>
    <col min="8201" max="8201" width="9.6640625" customWidth="1"/>
    <col min="8450" max="8450" width="9.6640625" customWidth="1"/>
    <col min="8451" max="8452" width="11.6640625" customWidth="1"/>
    <col min="8455" max="8455" width="4.6640625" customWidth="1"/>
    <col min="8456" max="8456" width="12.6640625" customWidth="1"/>
    <col min="8457" max="8457" width="9.6640625" customWidth="1"/>
    <col min="8706" max="8706" width="9.6640625" customWidth="1"/>
    <col min="8707" max="8708" width="11.6640625" customWidth="1"/>
    <col min="8711" max="8711" width="4.6640625" customWidth="1"/>
    <col min="8712" max="8712" width="12.6640625" customWidth="1"/>
    <col min="8713" max="8713" width="9.6640625" customWidth="1"/>
    <col min="8962" max="8962" width="9.6640625" customWidth="1"/>
    <col min="8963" max="8964" width="11.6640625" customWidth="1"/>
    <col min="8967" max="8967" width="4.6640625" customWidth="1"/>
    <col min="8968" max="8968" width="12.6640625" customWidth="1"/>
    <col min="8969" max="8969" width="9.6640625" customWidth="1"/>
    <col min="9218" max="9218" width="9.6640625" customWidth="1"/>
    <col min="9219" max="9220" width="11.6640625" customWidth="1"/>
    <col min="9223" max="9223" width="4.6640625" customWidth="1"/>
    <col min="9224" max="9224" width="12.6640625" customWidth="1"/>
    <col min="9225" max="9225" width="9.6640625" customWidth="1"/>
    <col min="9474" max="9474" width="9.6640625" customWidth="1"/>
    <col min="9475" max="9476" width="11.6640625" customWidth="1"/>
    <col min="9479" max="9479" width="4.6640625" customWidth="1"/>
    <col min="9480" max="9480" width="12.6640625" customWidth="1"/>
    <col min="9481" max="9481" width="9.6640625" customWidth="1"/>
    <col min="9730" max="9730" width="9.6640625" customWidth="1"/>
    <col min="9731" max="9732" width="11.6640625" customWidth="1"/>
    <col min="9735" max="9735" width="4.6640625" customWidth="1"/>
    <col min="9736" max="9736" width="12.6640625" customWidth="1"/>
    <col min="9737" max="9737" width="9.6640625" customWidth="1"/>
    <col min="9986" max="9986" width="9.6640625" customWidth="1"/>
    <col min="9987" max="9988" width="11.6640625" customWidth="1"/>
    <col min="9991" max="9991" width="4.6640625" customWidth="1"/>
    <col min="9992" max="9992" width="12.6640625" customWidth="1"/>
    <col min="9993" max="9993" width="9.6640625" customWidth="1"/>
    <col min="10242" max="10242" width="9.6640625" customWidth="1"/>
    <col min="10243" max="10244" width="11.6640625" customWidth="1"/>
    <col min="10247" max="10247" width="4.6640625" customWidth="1"/>
    <col min="10248" max="10248" width="12.6640625" customWidth="1"/>
    <col min="10249" max="10249" width="9.6640625" customWidth="1"/>
    <col min="10498" max="10498" width="9.6640625" customWidth="1"/>
    <col min="10499" max="10500" width="11.6640625" customWidth="1"/>
    <col min="10503" max="10503" width="4.6640625" customWidth="1"/>
    <col min="10504" max="10504" width="12.6640625" customWidth="1"/>
    <col min="10505" max="10505" width="9.6640625" customWidth="1"/>
    <col min="10754" max="10754" width="9.6640625" customWidth="1"/>
    <col min="10755" max="10756" width="11.6640625" customWidth="1"/>
    <col min="10759" max="10759" width="4.6640625" customWidth="1"/>
    <col min="10760" max="10760" width="12.6640625" customWidth="1"/>
    <col min="10761" max="10761" width="9.6640625" customWidth="1"/>
    <col min="11010" max="11010" width="9.6640625" customWidth="1"/>
    <col min="11011" max="11012" width="11.6640625" customWidth="1"/>
    <col min="11015" max="11015" width="4.6640625" customWidth="1"/>
    <col min="11016" max="11016" width="12.6640625" customWidth="1"/>
    <col min="11017" max="11017" width="9.6640625" customWidth="1"/>
    <col min="11266" max="11266" width="9.6640625" customWidth="1"/>
    <col min="11267" max="11268" width="11.6640625" customWidth="1"/>
    <col min="11271" max="11271" width="4.6640625" customWidth="1"/>
    <col min="11272" max="11272" width="12.6640625" customWidth="1"/>
    <col min="11273" max="11273" width="9.6640625" customWidth="1"/>
    <col min="11522" max="11522" width="9.6640625" customWidth="1"/>
    <col min="11523" max="11524" width="11.6640625" customWidth="1"/>
    <col min="11527" max="11527" width="4.6640625" customWidth="1"/>
    <col min="11528" max="11528" width="12.6640625" customWidth="1"/>
    <col min="11529" max="11529" width="9.6640625" customWidth="1"/>
    <col min="11778" max="11778" width="9.6640625" customWidth="1"/>
    <col min="11779" max="11780" width="11.6640625" customWidth="1"/>
    <col min="11783" max="11783" width="4.6640625" customWidth="1"/>
    <col min="11784" max="11784" width="12.6640625" customWidth="1"/>
    <col min="11785" max="11785" width="9.6640625" customWidth="1"/>
    <col min="12034" max="12034" width="9.6640625" customWidth="1"/>
    <col min="12035" max="12036" width="11.6640625" customWidth="1"/>
    <col min="12039" max="12039" width="4.6640625" customWidth="1"/>
    <col min="12040" max="12040" width="12.6640625" customWidth="1"/>
    <col min="12041" max="12041" width="9.6640625" customWidth="1"/>
    <col min="12290" max="12290" width="9.6640625" customWidth="1"/>
    <col min="12291" max="12292" width="11.6640625" customWidth="1"/>
    <col min="12295" max="12295" width="4.6640625" customWidth="1"/>
    <col min="12296" max="12296" width="12.6640625" customWidth="1"/>
    <col min="12297" max="12297" width="9.6640625" customWidth="1"/>
    <col min="12546" max="12546" width="9.6640625" customWidth="1"/>
    <col min="12547" max="12548" width="11.6640625" customWidth="1"/>
    <col min="12551" max="12551" width="4.6640625" customWidth="1"/>
    <col min="12552" max="12552" width="12.6640625" customWidth="1"/>
    <col min="12553" max="12553" width="9.6640625" customWidth="1"/>
    <col min="12802" max="12802" width="9.6640625" customWidth="1"/>
    <col min="12803" max="12804" width="11.6640625" customWidth="1"/>
    <col min="12807" max="12807" width="4.6640625" customWidth="1"/>
    <col min="12808" max="12808" width="12.6640625" customWidth="1"/>
    <col min="12809" max="12809" width="9.6640625" customWidth="1"/>
    <col min="13058" max="13058" width="9.6640625" customWidth="1"/>
    <col min="13059" max="13060" width="11.6640625" customWidth="1"/>
    <col min="13063" max="13063" width="4.6640625" customWidth="1"/>
    <col min="13064" max="13064" width="12.6640625" customWidth="1"/>
    <col min="13065" max="13065" width="9.6640625" customWidth="1"/>
    <col min="13314" max="13314" width="9.6640625" customWidth="1"/>
    <col min="13315" max="13316" width="11.6640625" customWidth="1"/>
    <col min="13319" max="13319" width="4.6640625" customWidth="1"/>
    <col min="13320" max="13320" width="12.6640625" customWidth="1"/>
    <col min="13321" max="13321" width="9.6640625" customWidth="1"/>
    <col min="13570" max="13570" width="9.6640625" customWidth="1"/>
    <col min="13571" max="13572" width="11.6640625" customWidth="1"/>
    <col min="13575" max="13575" width="4.6640625" customWidth="1"/>
    <col min="13576" max="13576" width="12.6640625" customWidth="1"/>
    <col min="13577" max="13577" width="9.6640625" customWidth="1"/>
    <col min="13826" max="13826" width="9.6640625" customWidth="1"/>
    <col min="13827" max="13828" width="11.6640625" customWidth="1"/>
    <col min="13831" max="13831" width="4.6640625" customWidth="1"/>
    <col min="13832" max="13832" width="12.6640625" customWidth="1"/>
    <col min="13833" max="13833" width="9.6640625" customWidth="1"/>
    <col min="14082" max="14082" width="9.6640625" customWidth="1"/>
    <col min="14083" max="14084" width="11.6640625" customWidth="1"/>
    <col min="14087" max="14087" width="4.6640625" customWidth="1"/>
    <col min="14088" max="14088" width="12.6640625" customWidth="1"/>
    <col min="14089" max="14089" width="9.6640625" customWidth="1"/>
    <col min="14338" max="14338" width="9.6640625" customWidth="1"/>
    <col min="14339" max="14340" width="11.6640625" customWidth="1"/>
    <col min="14343" max="14343" width="4.6640625" customWidth="1"/>
    <col min="14344" max="14344" width="12.6640625" customWidth="1"/>
    <col min="14345" max="14345" width="9.6640625" customWidth="1"/>
    <col min="14594" max="14594" width="9.6640625" customWidth="1"/>
    <col min="14595" max="14596" width="11.6640625" customWidth="1"/>
    <col min="14599" max="14599" width="4.6640625" customWidth="1"/>
    <col min="14600" max="14600" width="12.6640625" customWidth="1"/>
    <col min="14601" max="14601" width="9.6640625" customWidth="1"/>
    <col min="14850" max="14850" width="9.6640625" customWidth="1"/>
    <col min="14851" max="14852" width="11.6640625" customWidth="1"/>
    <col min="14855" max="14855" width="4.6640625" customWidth="1"/>
    <col min="14856" max="14856" width="12.6640625" customWidth="1"/>
    <col min="14857" max="14857" width="9.6640625" customWidth="1"/>
    <col min="15106" max="15106" width="9.6640625" customWidth="1"/>
    <col min="15107" max="15108" width="11.6640625" customWidth="1"/>
    <col min="15111" max="15111" width="4.6640625" customWidth="1"/>
    <col min="15112" max="15112" width="12.6640625" customWidth="1"/>
    <col min="15113" max="15113" width="9.6640625" customWidth="1"/>
    <col min="15362" max="15362" width="9.6640625" customWidth="1"/>
    <col min="15363" max="15364" width="11.6640625" customWidth="1"/>
    <col min="15367" max="15367" width="4.6640625" customWidth="1"/>
    <col min="15368" max="15368" width="12.6640625" customWidth="1"/>
    <col min="15369" max="15369" width="9.6640625" customWidth="1"/>
    <col min="15618" max="15618" width="9.6640625" customWidth="1"/>
    <col min="15619" max="15620" width="11.6640625" customWidth="1"/>
    <col min="15623" max="15623" width="4.6640625" customWidth="1"/>
    <col min="15624" max="15624" width="12.6640625" customWidth="1"/>
    <col min="15625" max="15625" width="9.6640625" customWidth="1"/>
    <col min="15874" max="15874" width="9.6640625" customWidth="1"/>
    <col min="15875" max="15876" width="11.6640625" customWidth="1"/>
    <col min="15879" max="15879" width="4.6640625" customWidth="1"/>
    <col min="15880" max="15880" width="12.6640625" customWidth="1"/>
    <col min="15881" max="15881" width="9.6640625" customWidth="1"/>
    <col min="16130" max="16130" width="9.6640625" customWidth="1"/>
    <col min="16131" max="16132" width="11.6640625" customWidth="1"/>
    <col min="16135" max="16135" width="4.6640625" customWidth="1"/>
    <col min="16136" max="16136" width="12.6640625" customWidth="1"/>
    <col min="16137" max="16137" width="9.6640625" customWidth="1"/>
  </cols>
  <sheetData>
    <row r="1" spans="1:9" ht="17.399999999999999">
      <c r="D1" s="43" t="str">
        <f>[21]step1!D1</f>
        <v>Replacement analysis</v>
      </c>
    </row>
    <row r="2" spans="1:9" ht="17.399999999999999">
      <c r="D2" s="43" t="str">
        <f>[21]step1!D2</f>
        <v>Furnace selection problems</v>
      </c>
    </row>
    <row r="4" spans="1:9">
      <c r="B4" s="44" t="str">
        <f>[21]step1!B4</f>
        <v>You are considering replacing your aging propane furnace for a natural gas model.  The</v>
      </c>
      <c r="C4" s="45"/>
      <c r="D4" s="45"/>
      <c r="E4" s="45"/>
      <c r="F4" s="45"/>
      <c r="G4" s="45"/>
      <c r="H4" s="45"/>
      <c r="I4" s="46"/>
    </row>
    <row r="5" spans="1:9">
      <c r="B5" s="47" t="str">
        <f>[21]step1!B5</f>
        <v>propane model originally cost $2200, will last 6 more years, and will have no salvage value.</v>
      </c>
      <c r="C5" s="48"/>
      <c r="D5" s="48"/>
      <c r="E5" s="48"/>
      <c r="F5" s="48"/>
      <c r="G5" s="48"/>
      <c r="H5" s="49"/>
      <c r="I5" s="50"/>
    </row>
    <row r="6" spans="1:9">
      <c r="B6" s="47" t="str">
        <f>[21]step1!B6</f>
        <v>The gas model costs $2200 and offers a $400 trade-in on the old furnace.  It lasts 13 years,</v>
      </c>
      <c r="C6" s="48"/>
      <c r="D6" s="48"/>
      <c r="E6" s="48"/>
      <c r="F6" s="48"/>
      <c r="G6" s="48"/>
      <c r="H6" s="48"/>
      <c r="I6" s="50"/>
    </row>
    <row r="7" spans="1:9">
      <c r="B7" s="47" t="str">
        <f>[21]step1!B7</f>
        <v>and can be salvaged for $500.  Annual fuel costs are $800 for the propane furnace and $600</v>
      </c>
      <c r="C7" s="48"/>
      <c r="D7" s="48"/>
      <c r="E7" s="48"/>
      <c r="F7" s="48"/>
      <c r="G7" s="48"/>
      <c r="H7" s="48"/>
      <c r="I7" s="50"/>
    </row>
    <row r="8" spans="1:9">
      <c r="B8" s="47" t="str">
        <f>[21]step1!B8</f>
        <v>for the gas furnace.  Use 9% per year interest.  Use cash-flow replacement and annual</v>
      </c>
      <c r="C8" s="48"/>
      <c r="D8" s="48"/>
      <c r="E8" s="48"/>
      <c r="F8" s="48"/>
      <c r="G8" s="48"/>
      <c r="H8" s="48"/>
      <c r="I8" s="50"/>
    </row>
    <row r="9" spans="1:9">
      <c r="B9" s="51" t="str">
        <f>[21]step1!B9</f>
        <v>worth analysis to select a furnace assuming another propane furnace can be had if needed.</v>
      </c>
      <c r="C9" s="52"/>
      <c r="D9" s="52"/>
      <c r="E9" s="52"/>
      <c r="F9" s="53"/>
      <c r="G9" s="52"/>
      <c r="H9" s="52"/>
      <c r="I9" s="54"/>
    </row>
    <row r="12" spans="1:9" ht="15.6">
      <c r="A12" s="55" t="s">
        <v>97</v>
      </c>
      <c r="B12" s="56"/>
      <c r="C12" s="57"/>
      <c r="D12" s="57"/>
      <c r="E12" s="57"/>
      <c r="F12" s="57"/>
      <c r="G12" s="57"/>
      <c r="H12" s="57"/>
      <c r="I12" s="58"/>
    </row>
    <row r="13" spans="1:9" ht="15.6">
      <c r="A13" s="59"/>
      <c r="B13" s="60" t="s">
        <v>98</v>
      </c>
      <c r="I13" s="61"/>
    </row>
    <row r="14" spans="1:9">
      <c r="A14" s="62"/>
      <c r="B14" s="63"/>
      <c r="C14" s="63"/>
      <c r="D14" s="63"/>
      <c r="E14" s="63"/>
      <c r="F14" s="63"/>
      <c r="G14" s="63"/>
      <c r="H14" s="63"/>
      <c r="I14" s="64"/>
    </row>
    <row r="16" spans="1:9">
      <c r="G16" s="65"/>
    </row>
    <row r="18" spans="2:10">
      <c r="B18" s="94" t="s">
        <v>296</v>
      </c>
      <c r="C18" s="107"/>
      <c r="F18" s="108"/>
      <c r="G18" s="109"/>
      <c r="H18" s="110"/>
    </row>
    <row r="19" spans="2:10">
      <c r="C19" s="107"/>
      <c r="D19" s="111"/>
      <c r="E19" s="107"/>
      <c r="F19" s="93"/>
      <c r="G19" s="93"/>
      <c r="H19" s="70"/>
    </row>
    <row r="20" spans="2:10">
      <c r="B20" s="78" t="s">
        <v>99</v>
      </c>
      <c r="C20" s="112" t="s">
        <v>134</v>
      </c>
      <c r="D20" s="113" t="s">
        <v>135</v>
      </c>
      <c r="E20" s="57" t="s">
        <v>108</v>
      </c>
      <c r="F20" s="114" t="s">
        <v>136</v>
      </c>
      <c r="G20" s="70"/>
      <c r="H20" s="115" t="s">
        <v>137</v>
      </c>
      <c r="I20" s="116">
        <f>[21]step1!L10</f>
        <v>0.09</v>
      </c>
    </row>
    <row r="21" spans="2:10">
      <c r="B21" s="69">
        <v>0</v>
      </c>
      <c r="C21" s="84">
        <f>IF([21]step1!L16=1,[21]step1!L1,0)</f>
        <v>0</v>
      </c>
      <c r="D21" s="107">
        <v>0</v>
      </c>
      <c r="E21" s="84">
        <v>0</v>
      </c>
      <c r="F21" s="117">
        <f>C21+D21+E21</f>
        <v>0</v>
      </c>
      <c r="G21" s="94"/>
      <c r="H21" s="59" t="s">
        <v>138</v>
      </c>
      <c r="I21" s="118">
        <f>F21+NPV(I20,F22:F29)</f>
        <v>3588.7348721847452</v>
      </c>
      <c r="J21" s="119" t="s">
        <v>297</v>
      </c>
    </row>
    <row r="22" spans="2:10">
      <c r="B22" s="69">
        <v>1</v>
      </c>
      <c r="C22" s="107">
        <v>0</v>
      </c>
      <c r="D22" s="107">
        <v>800</v>
      </c>
      <c r="E22" s="84">
        <v>0</v>
      </c>
      <c r="F22" s="117">
        <f t="shared" ref="F22:F29" si="0">C22+D22+E22</f>
        <v>800</v>
      </c>
      <c r="G22" s="93"/>
      <c r="H22" s="120" t="s">
        <v>140</v>
      </c>
      <c r="I22" s="121">
        <f>IF([21]step1!L8=0,[21]step1!L2,[21]step1!L8)</f>
        <v>6</v>
      </c>
    </row>
    <row r="23" spans="2:10">
      <c r="B23" s="69">
        <v>2</v>
      </c>
      <c r="C23" s="107">
        <v>0</v>
      </c>
      <c r="D23" s="107">
        <v>800</v>
      </c>
      <c r="E23" s="84">
        <v>0</v>
      </c>
      <c r="F23" s="117">
        <f t="shared" si="0"/>
        <v>800</v>
      </c>
      <c r="H23" s="120"/>
      <c r="I23" s="117"/>
    </row>
    <row r="24" spans="2:10">
      <c r="B24" s="69">
        <v>3</v>
      </c>
      <c r="C24" s="107">
        <v>0</v>
      </c>
      <c r="D24" s="107">
        <v>800</v>
      </c>
      <c r="E24" s="84">
        <v>0</v>
      </c>
      <c r="F24" s="117">
        <f t="shared" si="0"/>
        <v>800</v>
      </c>
      <c r="G24" s="93"/>
      <c r="H24" s="120" t="s">
        <v>141</v>
      </c>
      <c r="I24" s="117">
        <f>PMT(I20,I22,-I21)</f>
        <v>799.99999999999943</v>
      </c>
      <c r="J24" t="s">
        <v>142</v>
      </c>
    </row>
    <row r="25" spans="2:10">
      <c r="B25" s="69">
        <v>4</v>
      </c>
      <c r="C25" s="107">
        <v>0</v>
      </c>
      <c r="D25" s="107">
        <v>800</v>
      </c>
      <c r="E25" s="84">
        <v>0</v>
      </c>
      <c r="F25" s="117">
        <f t="shared" si="0"/>
        <v>800</v>
      </c>
      <c r="G25" s="93"/>
      <c r="H25" s="120"/>
      <c r="I25" s="117"/>
    </row>
    <row r="26" spans="2:10">
      <c r="B26" s="69">
        <v>5</v>
      </c>
      <c r="C26" s="107">
        <v>0</v>
      </c>
      <c r="D26" s="107">
        <v>800</v>
      </c>
      <c r="E26" s="84">
        <v>0</v>
      </c>
      <c r="F26" s="117">
        <f t="shared" si="0"/>
        <v>800</v>
      </c>
      <c r="H26" s="122" t="s">
        <v>129</v>
      </c>
      <c r="I26" s="123"/>
    </row>
    <row r="27" spans="2:10">
      <c r="B27" s="69">
        <v>6</v>
      </c>
      <c r="C27" s="107">
        <v>0</v>
      </c>
      <c r="D27" s="107">
        <v>800</v>
      </c>
      <c r="E27" s="84">
        <v>0</v>
      </c>
      <c r="F27" s="117">
        <f t="shared" si="0"/>
        <v>800</v>
      </c>
      <c r="H27" s="107"/>
      <c r="I27" s="107"/>
    </row>
    <row r="28" spans="2:10">
      <c r="B28" s="69">
        <v>7</v>
      </c>
      <c r="C28" s="107">
        <v>0</v>
      </c>
      <c r="D28" s="107">
        <v>0</v>
      </c>
      <c r="E28" s="84">
        <v>0</v>
      </c>
      <c r="F28" s="117">
        <f t="shared" si="0"/>
        <v>0</v>
      </c>
      <c r="H28" s="107"/>
      <c r="I28" s="107"/>
    </row>
    <row r="29" spans="2:10">
      <c r="B29" s="69">
        <v>8</v>
      </c>
      <c r="C29" s="107">
        <v>0</v>
      </c>
      <c r="D29" s="107">
        <v>0</v>
      </c>
      <c r="E29" s="84">
        <v>0</v>
      </c>
      <c r="F29" s="117">
        <f t="shared" si="0"/>
        <v>0</v>
      </c>
      <c r="H29" s="107"/>
      <c r="I29" s="84"/>
    </row>
    <row r="30" spans="2:10">
      <c r="B30" s="62"/>
      <c r="C30" s="97"/>
      <c r="D30" s="124"/>
      <c r="E30" s="97"/>
      <c r="F30" s="96"/>
      <c r="H30" s="74"/>
      <c r="I30" s="84"/>
    </row>
    <row r="31" spans="2:10">
      <c r="E31" s="84"/>
      <c r="I31" s="84"/>
    </row>
    <row r="32" spans="2:10">
      <c r="B32" s="125"/>
      <c r="C32" s="107"/>
      <c r="D32" s="84"/>
      <c r="E32" s="84"/>
    </row>
    <row r="33" spans="2:10">
      <c r="B33" s="94" t="s">
        <v>298</v>
      </c>
      <c r="C33" s="107"/>
      <c r="D33" s="84"/>
      <c r="E33" s="84"/>
      <c r="F33" s="84"/>
      <c r="G33" s="108"/>
      <c r="H33" s="109"/>
    </row>
    <row r="34" spans="2:10">
      <c r="C34" s="107"/>
      <c r="D34" s="107"/>
      <c r="E34" s="84"/>
      <c r="F34" s="107"/>
      <c r="G34" s="93"/>
      <c r="H34" s="93"/>
    </row>
    <row r="35" spans="2:10">
      <c r="B35" s="78" t="s">
        <v>99</v>
      </c>
      <c r="C35" s="112" t="s">
        <v>134</v>
      </c>
      <c r="D35" s="112" t="s">
        <v>135</v>
      </c>
      <c r="E35" s="126" t="s">
        <v>108</v>
      </c>
      <c r="F35" s="114" t="s">
        <v>136</v>
      </c>
      <c r="G35" s="70"/>
      <c r="H35" s="115" t="s">
        <v>137</v>
      </c>
      <c r="I35" s="116">
        <f>[21]step1!L10</f>
        <v>0.09</v>
      </c>
    </row>
    <row r="36" spans="2:10">
      <c r="B36" s="69">
        <v>0</v>
      </c>
      <c r="C36" s="84">
        <f>IF([21]step1!L16=1,[21]step1!L4,[21]step1!L4-[21]step1!L1)</f>
        <v>1800</v>
      </c>
      <c r="D36" s="107">
        <v>0</v>
      </c>
      <c r="E36" s="84">
        <v>0</v>
      </c>
      <c r="F36" s="117">
        <f>C36+D36+E36</f>
        <v>1800</v>
      </c>
      <c r="G36" s="94"/>
      <c r="H36" s="59" t="s">
        <v>138</v>
      </c>
      <c r="I36" s="118">
        <f>F36+NPV(I35,F37:F44)</f>
        <v>5120.8914688482109</v>
      </c>
      <c r="J36" s="119" t="s">
        <v>299</v>
      </c>
    </row>
    <row r="37" spans="2:10">
      <c r="B37" s="69">
        <v>1</v>
      </c>
      <c r="C37" s="107">
        <v>0</v>
      </c>
      <c r="D37" s="107">
        <v>600</v>
      </c>
      <c r="E37" s="84">
        <v>0</v>
      </c>
      <c r="F37" s="117">
        <f t="shared" ref="F37:F51" si="1">C37+D37+E37</f>
        <v>600</v>
      </c>
      <c r="G37" s="93"/>
      <c r="H37" s="120" t="s">
        <v>140</v>
      </c>
      <c r="I37" s="121">
        <f>IF([21]step1!L8=0,[21]step1!L5,[21]step1!L8)</f>
        <v>13</v>
      </c>
    </row>
    <row r="38" spans="2:10">
      <c r="B38" s="69">
        <v>2</v>
      </c>
      <c r="C38" s="107">
        <v>0</v>
      </c>
      <c r="D38" s="107">
        <v>600</v>
      </c>
      <c r="E38" s="84">
        <v>0</v>
      </c>
      <c r="F38" s="117">
        <f t="shared" si="1"/>
        <v>600</v>
      </c>
      <c r="H38" s="120"/>
      <c r="I38" s="117"/>
    </row>
    <row r="39" spans="2:10">
      <c r="B39" s="69">
        <v>3</v>
      </c>
      <c r="C39" s="107">
        <v>0</v>
      </c>
      <c r="D39" s="107">
        <v>600</v>
      </c>
      <c r="E39" s="84">
        <v>0</v>
      </c>
      <c r="F39" s="117">
        <f t="shared" si="1"/>
        <v>600</v>
      </c>
      <c r="G39" s="93"/>
      <c r="H39" s="120" t="s">
        <v>141</v>
      </c>
      <c r="I39" s="117">
        <f>PMT(I35,I37,-I36)</f>
        <v>683.97985618166695</v>
      </c>
      <c r="J39" t="s">
        <v>145</v>
      </c>
    </row>
    <row r="40" spans="2:10">
      <c r="B40" s="69">
        <v>4</v>
      </c>
      <c r="C40" s="107">
        <v>0</v>
      </c>
      <c r="D40" s="107">
        <v>600</v>
      </c>
      <c r="E40" s="84">
        <v>0</v>
      </c>
      <c r="F40" s="117">
        <f t="shared" si="1"/>
        <v>600</v>
      </c>
      <c r="G40" s="93"/>
      <c r="H40" s="120"/>
      <c r="I40" s="117"/>
    </row>
    <row r="41" spans="2:10">
      <c r="B41" s="69">
        <v>5</v>
      </c>
      <c r="C41" s="107">
        <v>0</v>
      </c>
      <c r="D41" s="107">
        <v>600</v>
      </c>
      <c r="E41" s="84">
        <v>0</v>
      </c>
      <c r="F41" s="117">
        <f t="shared" si="1"/>
        <v>600</v>
      </c>
      <c r="H41" s="122" t="s">
        <v>129</v>
      </c>
      <c r="I41" s="123" t="s">
        <v>130</v>
      </c>
    </row>
    <row r="42" spans="2:10">
      <c r="B42" s="69">
        <v>6</v>
      </c>
      <c r="C42" s="107">
        <v>0</v>
      </c>
      <c r="D42" s="107">
        <v>600</v>
      </c>
      <c r="E42" s="84">
        <v>0</v>
      </c>
      <c r="F42" s="117">
        <f t="shared" si="1"/>
        <v>600</v>
      </c>
      <c r="H42" s="107"/>
    </row>
    <row r="43" spans="2:10">
      <c r="B43" s="69">
        <v>7</v>
      </c>
      <c r="C43" s="107">
        <v>0</v>
      </c>
      <c r="D43" s="107">
        <v>600</v>
      </c>
      <c r="E43" s="84">
        <v>0</v>
      </c>
      <c r="F43" s="117">
        <f t="shared" si="1"/>
        <v>600</v>
      </c>
      <c r="H43" s="107"/>
    </row>
    <row r="44" spans="2:10">
      <c r="B44" s="69">
        <v>8</v>
      </c>
      <c r="C44" s="107">
        <v>0</v>
      </c>
      <c r="D44" s="107">
        <v>600</v>
      </c>
      <c r="E44" s="84">
        <v>0</v>
      </c>
      <c r="F44" s="117">
        <f t="shared" si="1"/>
        <v>600</v>
      </c>
      <c r="H44" s="107"/>
    </row>
    <row r="45" spans="2:10">
      <c r="B45" s="69">
        <v>9</v>
      </c>
      <c r="C45" s="107">
        <v>0</v>
      </c>
      <c r="D45" s="107">
        <v>600</v>
      </c>
      <c r="E45" s="84">
        <v>0</v>
      </c>
      <c r="F45" s="117">
        <f t="shared" si="1"/>
        <v>600</v>
      </c>
      <c r="H45" s="74"/>
    </row>
    <row r="46" spans="2:10">
      <c r="B46" s="69">
        <v>10</v>
      </c>
      <c r="C46" s="107">
        <v>0</v>
      </c>
      <c r="D46" s="107">
        <v>600</v>
      </c>
      <c r="E46" s="84">
        <v>0</v>
      </c>
      <c r="F46" s="117">
        <f t="shared" si="1"/>
        <v>600</v>
      </c>
      <c r="G46" s="24"/>
      <c r="H46" s="6"/>
    </row>
    <row r="47" spans="2:10">
      <c r="B47" s="69">
        <v>11</v>
      </c>
      <c r="C47" s="107">
        <v>0</v>
      </c>
      <c r="D47" s="107">
        <v>600</v>
      </c>
      <c r="E47" s="84">
        <v>0</v>
      </c>
      <c r="F47" s="117">
        <f t="shared" si="1"/>
        <v>600</v>
      </c>
    </row>
    <row r="48" spans="2:10">
      <c r="B48" s="69">
        <v>12</v>
      </c>
      <c r="C48" s="107">
        <v>0</v>
      </c>
      <c r="D48" s="107">
        <v>600</v>
      </c>
      <c r="E48" s="84">
        <v>0</v>
      </c>
      <c r="F48" s="117">
        <f t="shared" si="1"/>
        <v>600</v>
      </c>
    </row>
    <row r="49" spans="2:6">
      <c r="B49" s="69">
        <v>13</v>
      </c>
      <c r="C49" s="107">
        <v>0</v>
      </c>
      <c r="D49" s="107">
        <v>600</v>
      </c>
      <c r="E49" s="84">
        <v>-500</v>
      </c>
      <c r="F49" s="117">
        <f t="shared" si="1"/>
        <v>100</v>
      </c>
    </row>
    <row r="50" spans="2:6">
      <c r="B50" s="69">
        <v>14</v>
      </c>
      <c r="C50" s="107">
        <v>0</v>
      </c>
      <c r="D50" s="107">
        <v>0</v>
      </c>
      <c r="E50" s="84">
        <v>0</v>
      </c>
      <c r="F50" s="117">
        <f t="shared" si="1"/>
        <v>0</v>
      </c>
    </row>
    <row r="51" spans="2:6">
      <c r="B51" s="69">
        <v>15</v>
      </c>
      <c r="C51" s="107">
        <v>0</v>
      </c>
      <c r="D51" s="107">
        <v>0</v>
      </c>
      <c r="E51" s="84">
        <v>0</v>
      </c>
      <c r="F51" s="117">
        <f t="shared" si="1"/>
        <v>0</v>
      </c>
    </row>
    <row r="52" spans="2:6">
      <c r="B52" s="62"/>
      <c r="C52" s="97"/>
      <c r="D52" s="124"/>
      <c r="E52" s="97"/>
      <c r="F52" s="96"/>
    </row>
    <row r="55" spans="2:6" ht="17.399999999999999">
      <c r="B55" s="25" t="s">
        <v>117</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FB1DF-9E6B-4390-BAA9-D20808538E9C}">
  <dimension ref="A1:L58"/>
  <sheetViews>
    <sheetView workbookViewId="0">
      <selection sqref="A1:XFD1048576"/>
    </sheetView>
  </sheetViews>
  <sheetFormatPr defaultRowHeight="14.4"/>
  <cols>
    <col min="3" max="3" width="11.5546875" customWidth="1"/>
    <col min="4" max="4" width="11.6640625" customWidth="1"/>
    <col min="5" max="6" width="9.6640625" customWidth="1"/>
    <col min="7" max="7" width="4.6640625" customWidth="1"/>
    <col min="8" max="8" width="17.6640625" customWidth="1"/>
    <col min="12" max="12" width="9" customWidth="1"/>
    <col min="259" max="259" width="11.5546875" customWidth="1"/>
    <col min="260" max="260" width="11.6640625" customWidth="1"/>
    <col min="261" max="262" width="9.6640625" customWidth="1"/>
    <col min="263" max="263" width="4.6640625" customWidth="1"/>
    <col min="264" max="264" width="17.6640625" customWidth="1"/>
    <col min="268" max="268" width="9" customWidth="1"/>
    <col min="515" max="515" width="11.5546875" customWidth="1"/>
    <col min="516" max="516" width="11.6640625" customWidth="1"/>
    <col min="517" max="518" width="9.6640625" customWidth="1"/>
    <col min="519" max="519" width="4.6640625" customWidth="1"/>
    <col min="520" max="520" width="17.6640625" customWidth="1"/>
    <col min="524" max="524" width="9" customWidth="1"/>
    <col min="771" max="771" width="11.5546875" customWidth="1"/>
    <col min="772" max="772" width="11.6640625" customWidth="1"/>
    <col min="773" max="774" width="9.6640625" customWidth="1"/>
    <col min="775" max="775" width="4.6640625" customWidth="1"/>
    <col min="776" max="776" width="17.6640625" customWidth="1"/>
    <col min="780" max="780" width="9" customWidth="1"/>
    <col min="1027" max="1027" width="11.5546875" customWidth="1"/>
    <col min="1028" max="1028" width="11.6640625" customWidth="1"/>
    <col min="1029" max="1030" width="9.6640625" customWidth="1"/>
    <col min="1031" max="1031" width="4.6640625" customWidth="1"/>
    <col min="1032" max="1032" width="17.6640625" customWidth="1"/>
    <col min="1036" max="1036" width="9" customWidth="1"/>
    <col min="1283" max="1283" width="11.5546875" customWidth="1"/>
    <col min="1284" max="1284" width="11.6640625" customWidth="1"/>
    <col min="1285" max="1286" width="9.6640625" customWidth="1"/>
    <col min="1287" max="1287" width="4.6640625" customWidth="1"/>
    <col min="1288" max="1288" width="17.6640625" customWidth="1"/>
    <col min="1292" max="1292" width="9" customWidth="1"/>
    <col min="1539" max="1539" width="11.5546875" customWidth="1"/>
    <col min="1540" max="1540" width="11.6640625" customWidth="1"/>
    <col min="1541" max="1542" width="9.6640625" customWidth="1"/>
    <col min="1543" max="1543" width="4.6640625" customWidth="1"/>
    <col min="1544" max="1544" width="17.6640625" customWidth="1"/>
    <col min="1548" max="1548" width="9" customWidth="1"/>
    <col min="1795" max="1795" width="11.5546875" customWidth="1"/>
    <col min="1796" max="1796" width="11.6640625" customWidth="1"/>
    <col min="1797" max="1798" width="9.6640625" customWidth="1"/>
    <col min="1799" max="1799" width="4.6640625" customWidth="1"/>
    <col min="1800" max="1800" width="17.6640625" customWidth="1"/>
    <col min="1804" max="1804" width="9" customWidth="1"/>
    <col min="2051" max="2051" width="11.5546875" customWidth="1"/>
    <col min="2052" max="2052" width="11.6640625" customWidth="1"/>
    <col min="2053" max="2054" width="9.6640625" customWidth="1"/>
    <col min="2055" max="2055" width="4.6640625" customWidth="1"/>
    <col min="2056" max="2056" width="17.6640625" customWidth="1"/>
    <col min="2060" max="2060" width="9" customWidth="1"/>
    <col min="2307" max="2307" width="11.5546875" customWidth="1"/>
    <col min="2308" max="2308" width="11.6640625" customWidth="1"/>
    <col min="2309" max="2310" width="9.6640625" customWidth="1"/>
    <col min="2311" max="2311" width="4.6640625" customWidth="1"/>
    <col min="2312" max="2312" width="17.6640625" customWidth="1"/>
    <col min="2316" max="2316" width="9" customWidth="1"/>
    <col min="2563" max="2563" width="11.5546875" customWidth="1"/>
    <col min="2564" max="2564" width="11.6640625" customWidth="1"/>
    <col min="2565" max="2566" width="9.6640625" customWidth="1"/>
    <col min="2567" max="2567" width="4.6640625" customWidth="1"/>
    <col min="2568" max="2568" width="17.6640625" customWidth="1"/>
    <col min="2572" max="2572" width="9" customWidth="1"/>
    <col min="2819" max="2819" width="11.5546875" customWidth="1"/>
    <col min="2820" max="2820" width="11.6640625" customWidth="1"/>
    <col min="2821" max="2822" width="9.6640625" customWidth="1"/>
    <col min="2823" max="2823" width="4.6640625" customWidth="1"/>
    <col min="2824" max="2824" width="17.6640625" customWidth="1"/>
    <col min="2828" max="2828" width="9" customWidth="1"/>
    <col min="3075" max="3075" width="11.5546875" customWidth="1"/>
    <col min="3076" max="3076" width="11.6640625" customWidth="1"/>
    <col min="3077" max="3078" width="9.6640625" customWidth="1"/>
    <col min="3079" max="3079" width="4.6640625" customWidth="1"/>
    <col min="3080" max="3080" width="17.6640625" customWidth="1"/>
    <col min="3084" max="3084" width="9" customWidth="1"/>
    <col min="3331" max="3331" width="11.5546875" customWidth="1"/>
    <col min="3332" max="3332" width="11.6640625" customWidth="1"/>
    <col min="3333" max="3334" width="9.6640625" customWidth="1"/>
    <col min="3335" max="3335" width="4.6640625" customWidth="1"/>
    <col min="3336" max="3336" width="17.6640625" customWidth="1"/>
    <col min="3340" max="3340" width="9" customWidth="1"/>
    <col min="3587" max="3587" width="11.5546875" customWidth="1"/>
    <col min="3588" max="3588" width="11.6640625" customWidth="1"/>
    <col min="3589" max="3590" width="9.6640625" customWidth="1"/>
    <col min="3591" max="3591" width="4.6640625" customWidth="1"/>
    <col min="3592" max="3592" width="17.6640625" customWidth="1"/>
    <col min="3596" max="3596" width="9" customWidth="1"/>
    <col min="3843" max="3843" width="11.5546875" customWidth="1"/>
    <col min="3844" max="3844" width="11.6640625" customWidth="1"/>
    <col min="3845" max="3846" width="9.6640625" customWidth="1"/>
    <col min="3847" max="3847" width="4.6640625" customWidth="1"/>
    <col min="3848" max="3848" width="17.6640625" customWidth="1"/>
    <col min="3852" max="3852" width="9" customWidth="1"/>
    <col min="4099" max="4099" width="11.5546875" customWidth="1"/>
    <col min="4100" max="4100" width="11.6640625" customWidth="1"/>
    <col min="4101" max="4102" width="9.6640625" customWidth="1"/>
    <col min="4103" max="4103" width="4.6640625" customWidth="1"/>
    <col min="4104" max="4104" width="17.6640625" customWidth="1"/>
    <col min="4108" max="4108" width="9" customWidth="1"/>
    <col min="4355" max="4355" width="11.5546875" customWidth="1"/>
    <col min="4356" max="4356" width="11.6640625" customWidth="1"/>
    <col min="4357" max="4358" width="9.6640625" customWidth="1"/>
    <col min="4359" max="4359" width="4.6640625" customWidth="1"/>
    <col min="4360" max="4360" width="17.6640625" customWidth="1"/>
    <col min="4364" max="4364" width="9" customWidth="1"/>
    <col min="4611" max="4611" width="11.5546875" customWidth="1"/>
    <col min="4612" max="4612" width="11.6640625" customWidth="1"/>
    <col min="4613" max="4614" width="9.6640625" customWidth="1"/>
    <col min="4615" max="4615" width="4.6640625" customWidth="1"/>
    <col min="4616" max="4616" width="17.6640625" customWidth="1"/>
    <col min="4620" max="4620" width="9" customWidth="1"/>
    <col min="4867" max="4867" width="11.5546875" customWidth="1"/>
    <col min="4868" max="4868" width="11.6640625" customWidth="1"/>
    <col min="4869" max="4870" width="9.6640625" customWidth="1"/>
    <col min="4871" max="4871" width="4.6640625" customWidth="1"/>
    <col min="4872" max="4872" width="17.6640625" customWidth="1"/>
    <col min="4876" max="4876" width="9" customWidth="1"/>
    <col min="5123" max="5123" width="11.5546875" customWidth="1"/>
    <col min="5124" max="5124" width="11.6640625" customWidth="1"/>
    <col min="5125" max="5126" width="9.6640625" customWidth="1"/>
    <col min="5127" max="5127" width="4.6640625" customWidth="1"/>
    <col min="5128" max="5128" width="17.6640625" customWidth="1"/>
    <col min="5132" max="5132" width="9" customWidth="1"/>
    <col min="5379" max="5379" width="11.5546875" customWidth="1"/>
    <col min="5380" max="5380" width="11.6640625" customWidth="1"/>
    <col min="5381" max="5382" width="9.6640625" customWidth="1"/>
    <col min="5383" max="5383" width="4.6640625" customWidth="1"/>
    <col min="5384" max="5384" width="17.6640625" customWidth="1"/>
    <col min="5388" max="5388" width="9" customWidth="1"/>
    <col min="5635" max="5635" width="11.5546875" customWidth="1"/>
    <col min="5636" max="5636" width="11.6640625" customWidth="1"/>
    <col min="5637" max="5638" width="9.6640625" customWidth="1"/>
    <col min="5639" max="5639" width="4.6640625" customWidth="1"/>
    <col min="5640" max="5640" width="17.6640625" customWidth="1"/>
    <col min="5644" max="5644" width="9" customWidth="1"/>
    <col min="5891" max="5891" width="11.5546875" customWidth="1"/>
    <col min="5892" max="5892" width="11.6640625" customWidth="1"/>
    <col min="5893" max="5894" width="9.6640625" customWidth="1"/>
    <col min="5895" max="5895" width="4.6640625" customWidth="1"/>
    <col min="5896" max="5896" width="17.6640625" customWidth="1"/>
    <col min="5900" max="5900" width="9" customWidth="1"/>
    <col min="6147" max="6147" width="11.5546875" customWidth="1"/>
    <col min="6148" max="6148" width="11.6640625" customWidth="1"/>
    <col min="6149" max="6150" width="9.6640625" customWidth="1"/>
    <col min="6151" max="6151" width="4.6640625" customWidth="1"/>
    <col min="6152" max="6152" width="17.6640625" customWidth="1"/>
    <col min="6156" max="6156" width="9" customWidth="1"/>
    <col min="6403" max="6403" width="11.5546875" customWidth="1"/>
    <col min="6404" max="6404" width="11.6640625" customWidth="1"/>
    <col min="6405" max="6406" width="9.6640625" customWidth="1"/>
    <col min="6407" max="6407" width="4.6640625" customWidth="1"/>
    <col min="6408" max="6408" width="17.6640625" customWidth="1"/>
    <col min="6412" max="6412" width="9" customWidth="1"/>
    <col min="6659" max="6659" width="11.5546875" customWidth="1"/>
    <col min="6660" max="6660" width="11.6640625" customWidth="1"/>
    <col min="6661" max="6662" width="9.6640625" customWidth="1"/>
    <col min="6663" max="6663" width="4.6640625" customWidth="1"/>
    <col min="6664" max="6664" width="17.6640625" customWidth="1"/>
    <col min="6668" max="6668" width="9" customWidth="1"/>
    <col min="6915" max="6915" width="11.5546875" customWidth="1"/>
    <col min="6916" max="6916" width="11.6640625" customWidth="1"/>
    <col min="6917" max="6918" width="9.6640625" customWidth="1"/>
    <col min="6919" max="6919" width="4.6640625" customWidth="1"/>
    <col min="6920" max="6920" width="17.6640625" customWidth="1"/>
    <col min="6924" max="6924" width="9" customWidth="1"/>
    <col min="7171" max="7171" width="11.5546875" customWidth="1"/>
    <col min="7172" max="7172" width="11.6640625" customWidth="1"/>
    <col min="7173" max="7174" width="9.6640625" customWidth="1"/>
    <col min="7175" max="7175" width="4.6640625" customWidth="1"/>
    <col min="7176" max="7176" width="17.6640625" customWidth="1"/>
    <col min="7180" max="7180" width="9" customWidth="1"/>
    <col min="7427" max="7427" width="11.5546875" customWidth="1"/>
    <col min="7428" max="7428" width="11.6640625" customWidth="1"/>
    <col min="7429" max="7430" width="9.6640625" customWidth="1"/>
    <col min="7431" max="7431" width="4.6640625" customWidth="1"/>
    <col min="7432" max="7432" width="17.6640625" customWidth="1"/>
    <col min="7436" max="7436" width="9" customWidth="1"/>
    <col min="7683" max="7683" width="11.5546875" customWidth="1"/>
    <col min="7684" max="7684" width="11.6640625" customWidth="1"/>
    <col min="7685" max="7686" width="9.6640625" customWidth="1"/>
    <col min="7687" max="7687" width="4.6640625" customWidth="1"/>
    <col min="7688" max="7688" width="17.6640625" customWidth="1"/>
    <col min="7692" max="7692" width="9" customWidth="1"/>
    <col min="7939" max="7939" width="11.5546875" customWidth="1"/>
    <col min="7940" max="7940" width="11.6640625" customWidth="1"/>
    <col min="7941" max="7942" width="9.6640625" customWidth="1"/>
    <col min="7943" max="7943" width="4.6640625" customWidth="1"/>
    <col min="7944" max="7944" width="17.6640625" customWidth="1"/>
    <col min="7948" max="7948" width="9" customWidth="1"/>
    <col min="8195" max="8195" width="11.5546875" customWidth="1"/>
    <col min="8196" max="8196" width="11.6640625" customWidth="1"/>
    <col min="8197" max="8198" width="9.6640625" customWidth="1"/>
    <col min="8199" max="8199" width="4.6640625" customWidth="1"/>
    <col min="8200" max="8200" width="17.6640625" customWidth="1"/>
    <col min="8204" max="8204" width="9" customWidth="1"/>
    <col min="8451" max="8451" width="11.5546875" customWidth="1"/>
    <col min="8452" max="8452" width="11.6640625" customWidth="1"/>
    <col min="8453" max="8454" width="9.6640625" customWidth="1"/>
    <col min="8455" max="8455" width="4.6640625" customWidth="1"/>
    <col min="8456" max="8456" width="17.6640625" customWidth="1"/>
    <col min="8460" max="8460" width="9" customWidth="1"/>
    <col min="8707" max="8707" width="11.5546875" customWidth="1"/>
    <col min="8708" max="8708" width="11.6640625" customWidth="1"/>
    <col min="8709" max="8710" width="9.6640625" customWidth="1"/>
    <col min="8711" max="8711" width="4.6640625" customWidth="1"/>
    <col min="8712" max="8712" width="17.6640625" customWidth="1"/>
    <col min="8716" max="8716" width="9" customWidth="1"/>
    <col min="8963" max="8963" width="11.5546875" customWidth="1"/>
    <col min="8964" max="8964" width="11.6640625" customWidth="1"/>
    <col min="8965" max="8966" width="9.6640625" customWidth="1"/>
    <col min="8967" max="8967" width="4.6640625" customWidth="1"/>
    <col min="8968" max="8968" width="17.6640625" customWidth="1"/>
    <col min="8972" max="8972" width="9" customWidth="1"/>
    <col min="9219" max="9219" width="11.5546875" customWidth="1"/>
    <col min="9220" max="9220" width="11.6640625" customWidth="1"/>
    <col min="9221" max="9222" width="9.6640625" customWidth="1"/>
    <col min="9223" max="9223" width="4.6640625" customWidth="1"/>
    <col min="9224" max="9224" width="17.6640625" customWidth="1"/>
    <col min="9228" max="9228" width="9" customWidth="1"/>
    <col min="9475" max="9475" width="11.5546875" customWidth="1"/>
    <col min="9476" max="9476" width="11.6640625" customWidth="1"/>
    <col min="9477" max="9478" width="9.6640625" customWidth="1"/>
    <col min="9479" max="9479" width="4.6640625" customWidth="1"/>
    <col min="9480" max="9480" width="17.6640625" customWidth="1"/>
    <col min="9484" max="9484" width="9" customWidth="1"/>
    <col min="9731" max="9731" width="11.5546875" customWidth="1"/>
    <col min="9732" max="9732" width="11.6640625" customWidth="1"/>
    <col min="9733" max="9734" width="9.6640625" customWidth="1"/>
    <col min="9735" max="9735" width="4.6640625" customWidth="1"/>
    <col min="9736" max="9736" width="17.6640625" customWidth="1"/>
    <col min="9740" max="9740" width="9" customWidth="1"/>
    <col min="9987" max="9987" width="11.5546875" customWidth="1"/>
    <col min="9988" max="9988" width="11.6640625" customWidth="1"/>
    <col min="9989" max="9990" width="9.6640625" customWidth="1"/>
    <col min="9991" max="9991" width="4.6640625" customWidth="1"/>
    <col min="9992" max="9992" width="17.6640625" customWidth="1"/>
    <col min="9996" max="9996" width="9" customWidth="1"/>
    <col min="10243" max="10243" width="11.5546875" customWidth="1"/>
    <col min="10244" max="10244" width="11.6640625" customWidth="1"/>
    <col min="10245" max="10246" width="9.6640625" customWidth="1"/>
    <col min="10247" max="10247" width="4.6640625" customWidth="1"/>
    <col min="10248" max="10248" width="17.6640625" customWidth="1"/>
    <col min="10252" max="10252" width="9" customWidth="1"/>
    <col min="10499" max="10499" width="11.5546875" customWidth="1"/>
    <col min="10500" max="10500" width="11.6640625" customWidth="1"/>
    <col min="10501" max="10502" width="9.6640625" customWidth="1"/>
    <col min="10503" max="10503" width="4.6640625" customWidth="1"/>
    <col min="10504" max="10504" width="17.6640625" customWidth="1"/>
    <col min="10508" max="10508" width="9" customWidth="1"/>
    <col min="10755" max="10755" width="11.5546875" customWidth="1"/>
    <col min="10756" max="10756" width="11.6640625" customWidth="1"/>
    <col min="10757" max="10758" width="9.6640625" customWidth="1"/>
    <col min="10759" max="10759" width="4.6640625" customWidth="1"/>
    <col min="10760" max="10760" width="17.6640625" customWidth="1"/>
    <col min="10764" max="10764" width="9" customWidth="1"/>
    <col min="11011" max="11011" width="11.5546875" customWidth="1"/>
    <col min="11012" max="11012" width="11.6640625" customWidth="1"/>
    <col min="11013" max="11014" width="9.6640625" customWidth="1"/>
    <col min="11015" max="11015" width="4.6640625" customWidth="1"/>
    <col min="11016" max="11016" width="17.6640625" customWidth="1"/>
    <col min="11020" max="11020" width="9" customWidth="1"/>
    <col min="11267" max="11267" width="11.5546875" customWidth="1"/>
    <col min="11268" max="11268" width="11.6640625" customWidth="1"/>
    <col min="11269" max="11270" width="9.6640625" customWidth="1"/>
    <col min="11271" max="11271" width="4.6640625" customWidth="1"/>
    <col min="11272" max="11272" width="17.6640625" customWidth="1"/>
    <col min="11276" max="11276" width="9" customWidth="1"/>
    <col min="11523" max="11523" width="11.5546875" customWidth="1"/>
    <col min="11524" max="11524" width="11.6640625" customWidth="1"/>
    <col min="11525" max="11526" width="9.6640625" customWidth="1"/>
    <col min="11527" max="11527" width="4.6640625" customWidth="1"/>
    <col min="11528" max="11528" width="17.6640625" customWidth="1"/>
    <col min="11532" max="11532" width="9" customWidth="1"/>
    <col min="11779" max="11779" width="11.5546875" customWidth="1"/>
    <col min="11780" max="11780" width="11.6640625" customWidth="1"/>
    <col min="11781" max="11782" width="9.6640625" customWidth="1"/>
    <col min="11783" max="11783" width="4.6640625" customWidth="1"/>
    <col min="11784" max="11784" width="17.6640625" customWidth="1"/>
    <col min="11788" max="11788" width="9" customWidth="1"/>
    <col min="12035" max="12035" width="11.5546875" customWidth="1"/>
    <col min="12036" max="12036" width="11.6640625" customWidth="1"/>
    <col min="12037" max="12038" width="9.6640625" customWidth="1"/>
    <col min="12039" max="12039" width="4.6640625" customWidth="1"/>
    <col min="12040" max="12040" width="17.6640625" customWidth="1"/>
    <col min="12044" max="12044" width="9" customWidth="1"/>
    <col min="12291" max="12291" width="11.5546875" customWidth="1"/>
    <col min="12292" max="12292" width="11.6640625" customWidth="1"/>
    <col min="12293" max="12294" width="9.6640625" customWidth="1"/>
    <col min="12295" max="12295" width="4.6640625" customWidth="1"/>
    <col min="12296" max="12296" width="17.6640625" customWidth="1"/>
    <col min="12300" max="12300" width="9" customWidth="1"/>
    <col min="12547" max="12547" width="11.5546875" customWidth="1"/>
    <col min="12548" max="12548" width="11.6640625" customWidth="1"/>
    <col min="12549" max="12550" width="9.6640625" customWidth="1"/>
    <col min="12551" max="12551" width="4.6640625" customWidth="1"/>
    <col min="12552" max="12552" width="17.6640625" customWidth="1"/>
    <col min="12556" max="12556" width="9" customWidth="1"/>
    <col min="12803" max="12803" width="11.5546875" customWidth="1"/>
    <col min="12804" max="12804" width="11.6640625" customWidth="1"/>
    <col min="12805" max="12806" width="9.6640625" customWidth="1"/>
    <col min="12807" max="12807" width="4.6640625" customWidth="1"/>
    <col min="12808" max="12808" width="17.6640625" customWidth="1"/>
    <col min="12812" max="12812" width="9" customWidth="1"/>
    <col min="13059" max="13059" width="11.5546875" customWidth="1"/>
    <col min="13060" max="13060" width="11.6640625" customWidth="1"/>
    <col min="13061" max="13062" width="9.6640625" customWidth="1"/>
    <col min="13063" max="13063" width="4.6640625" customWidth="1"/>
    <col min="13064" max="13064" width="17.6640625" customWidth="1"/>
    <col min="13068" max="13068" width="9" customWidth="1"/>
    <col min="13315" max="13315" width="11.5546875" customWidth="1"/>
    <col min="13316" max="13316" width="11.6640625" customWidth="1"/>
    <col min="13317" max="13318" width="9.6640625" customWidth="1"/>
    <col min="13319" max="13319" width="4.6640625" customWidth="1"/>
    <col min="13320" max="13320" width="17.6640625" customWidth="1"/>
    <col min="13324" max="13324" width="9" customWidth="1"/>
    <col min="13571" max="13571" width="11.5546875" customWidth="1"/>
    <col min="13572" max="13572" width="11.6640625" customWidth="1"/>
    <col min="13573" max="13574" width="9.6640625" customWidth="1"/>
    <col min="13575" max="13575" width="4.6640625" customWidth="1"/>
    <col min="13576" max="13576" width="17.6640625" customWidth="1"/>
    <col min="13580" max="13580" width="9" customWidth="1"/>
    <col min="13827" max="13827" width="11.5546875" customWidth="1"/>
    <col min="13828" max="13828" width="11.6640625" customWidth="1"/>
    <col min="13829" max="13830" width="9.6640625" customWidth="1"/>
    <col min="13831" max="13831" width="4.6640625" customWidth="1"/>
    <col min="13832" max="13832" width="17.6640625" customWidth="1"/>
    <col min="13836" max="13836" width="9" customWidth="1"/>
    <col min="14083" max="14083" width="11.5546875" customWidth="1"/>
    <col min="14084" max="14084" width="11.6640625" customWidth="1"/>
    <col min="14085" max="14086" width="9.6640625" customWidth="1"/>
    <col min="14087" max="14087" width="4.6640625" customWidth="1"/>
    <col min="14088" max="14088" width="17.6640625" customWidth="1"/>
    <col min="14092" max="14092" width="9" customWidth="1"/>
    <col min="14339" max="14339" width="11.5546875" customWidth="1"/>
    <col min="14340" max="14340" width="11.6640625" customWidth="1"/>
    <col min="14341" max="14342" width="9.6640625" customWidth="1"/>
    <col min="14343" max="14343" width="4.6640625" customWidth="1"/>
    <col min="14344" max="14344" width="17.6640625" customWidth="1"/>
    <col min="14348" max="14348" width="9" customWidth="1"/>
    <col min="14595" max="14595" width="11.5546875" customWidth="1"/>
    <col min="14596" max="14596" width="11.6640625" customWidth="1"/>
    <col min="14597" max="14598" width="9.6640625" customWidth="1"/>
    <col min="14599" max="14599" width="4.6640625" customWidth="1"/>
    <col min="14600" max="14600" width="17.6640625" customWidth="1"/>
    <col min="14604" max="14604" width="9" customWidth="1"/>
    <col min="14851" max="14851" width="11.5546875" customWidth="1"/>
    <col min="14852" max="14852" width="11.6640625" customWidth="1"/>
    <col min="14853" max="14854" width="9.6640625" customWidth="1"/>
    <col min="14855" max="14855" width="4.6640625" customWidth="1"/>
    <col min="14856" max="14856" width="17.6640625" customWidth="1"/>
    <col min="14860" max="14860" width="9" customWidth="1"/>
    <col min="15107" max="15107" width="11.5546875" customWidth="1"/>
    <col min="15108" max="15108" width="11.6640625" customWidth="1"/>
    <col min="15109" max="15110" width="9.6640625" customWidth="1"/>
    <col min="15111" max="15111" width="4.6640625" customWidth="1"/>
    <col min="15112" max="15112" width="17.6640625" customWidth="1"/>
    <col min="15116" max="15116" width="9" customWidth="1"/>
    <col min="15363" max="15363" width="11.5546875" customWidth="1"/>
    <col min="15364" max="15364" width="11.6640625" customWidth="1"/>
    <col min="15365" max="15366" width="9.6640625" customWidth="1"/>
    <col min="15367" max="15367" width="4.6640625" customWidth="1"/>
    <col min="15368" max="15368" width="17.6640625" customWidth="1"/>
    <col min="15372" max="15372" width="9" customWidth="1"/>
    <col min="15619" max="15619" width="11.5546875" customWidth="1"/>
    <col min="15620" max="15620" width="11.6640625" customWidth="1"/>
    <col min="15621" max="15622" width="9.6640625" customWidth="1"/>
    <col min="15623" max="15623" width="4.6640625" customWidth="1"/>
    <col min="15624" max="15624" width="17.6640625" customWidth="1"/>
    <col min="15628" max="15628" width="9" customWidth="1"/>
    <col min="15875" max="15875" width="11.5546875" customWidth="1"/>
    <col min="15876" max="15876" width="11.6640625" customWidth="1"/>
    <col min="15877" max="15878" width="9.6640625" customWidth="1"/>
    <col min="15879" max="15879" width="4.6640625" customWidth="1"/>
    <col min="15880" max="15880" width="17.6640625" customWidth="1"/>
    <col min="15884" max="15884" width="9" customWidth="1"/>
    <col min="16131" max="16131" width="11.5546875" customWidth="1"/>
    <col min="16132" max="16132" width="11.6640625" customWidth="1"/>
    <col min="16133" max="16134" width="9.6640625" customWidth="1"/>
    <col min="16135" max="16135" width="4.6640625" customWidth="1"/>
    <col min="16136" max="16136" width="17.6640625" customWidth="1"/>
    <col min="16140" max="16140" width="9" customWidth="1"/>
  </cols>
  <sheetData>
    <row r="1" spans="1:12" ht="17.399999999999999">
      <c r="D1" s="43" t="str">
        <f>[22]step1!D1</f>
        <v>Sensitivity Analysis</v>
      </c>
    </row>
    <row r="2" spans="1:12" ht="17.399999999999999">
      <c r="D2" s="43" t="str">
        <f>[22]step1!D2</f>
        <v>Delivery van problems</v>
      </c>
    </row>
    <row r="5" spans="1:12">
      <c r="B5" s="44" t="str">
        <f>[22]step1!B5</f>
        <v>Real Greens Produce is starting home delivery of fresh produce via internet ordering.</v>
      </c>
      <c r="C5" s="45"/>
      <c r="D5" s="45"/>
      <c r="E5" s="45"/>
      <c r="F5" s="45"/>
      <c r="G5" s="45"/>
      <c r="H5" s="46"/>
    </row>
    <row r="6" spans="1:12">
      <c r="B6" s="47" t="str">
        <f>[22]step1!B6</f>
        <v>They analyzed both a new and a used delivery van using incremental rate-of-return</v>
      </c>
      <c r="C6" s="48"/>
      <c r="D6" s="48"/>
      <c r="E6" s="48"/>
      <c r="F6" s="48"/>
      <c r="G6" s="48"/>
      <c r="H6" s="50"/>
    </row>
    <row r="7" spans="1:12">
      <c r="B7" s="47" t="str">
        <f>[22]step1!B7</f>
        <v>analysis, as shown in the tables below.  The store manager is concerned about the</v>
      </c>
      <c r="C7" s="48"/>
      <c r="D7" s="48"/>
      <c r="E7" s="48"/>
      <c r="F7" s="48"/>
      <c r="G7" s="48"/>
      <c r="H7" s="50"/>
      <c r="L7" s="84"/>
    </row>
    <row r="8" spans="1:12">
      <c r="B8" s="47" t="str">
        <f>[22]step1!B8</f>
        <v>new van salvage value data accuracy.  Use sensitivity analysis, change the data</v>
      </c>
      <c r="C8" s="48"/>
      <c r="D8" s="48"/>
      <c r="E8" s="48"/>
      <c r="F8" s="48"/>
      <c r="G8" s="48"/>
      <c r="H8" s="50"/>
      <c r="L8" s="127"/>
    </row>
    <row r="9" spans="1:12">
      <c r="B9" s="51" t="str">
        <f>[22]step1!B9</f>
        <v>by -$2000, -$1000, $0, $1000, and $2000 to see if the decision changes, if MARR=20%.</v>
      </c>
      <c r="C9" s="52"/>
      <c r="D9" s="52"/>
      <c r="E9" s="52"/>
      <c r="F9" s="52"/>
      <c r="G9" s="52"/>
      <c r="H9" s="54"/>
      <c r="L9" s="132"/>
    </row>
    <row r="10" spans="1:12">
      <c r="F10" s="146"/>
      <c r="L10" s="84"/>
    </row>
    <row r="11" spans="1:12">
      <c r="L11" s="127"/>
    </row>
    <row r="12" spans="1:12" ht="15.6">
      <c r="A12" s="55" t="s">
        <v>97</v>
      </c>
      <c r="B12" s="56"/>
      <c r="C12" s="57"/>
      <c r="D12" s="57"/>
      <c r="E12" s="57"/>
      <c r="F12" s="57"/>
      <c r="G12" s="57"/>
      <c r="H12" s="58"/>
    </row>
    <row r="13" spans="1:12" ht="15.6">
      <c r="A13" s="59"/>
      <c r="B13" s="60" t="s">
        <v>146</v>
      </c>
      <c r="H13" s="61"/>
    </row>
    <row r="14" spans="1:12">
      <c r="A14" s="62"/>
      <c r="B14" s="63"/>
      <c r="C14" s="63"/>
      <c r="D14" s="63"/>
      <c r="E14" s="63"/>
      <c r="F14" s="63"/>
      <c r="G14" s="63"/>
      <c r="H14" s="64"/>
    </row>
    <row r="18" spans="2:12">
      <c r="B18" s="264" t="s">
        <v>300</v>
      </c>
      <c r="C18" s="57"/>
      <c r="D18" s="265" t="s">
        <v>301</v>
      </c>
      <c r="E18" s="266" t="s">
        <v>302</v>
      </c>
      <c r="F18" s="150"/>
      <c r="G18" s="267"/>
      <c r="H18" s="264" t="s">
        <v>303</v>
      </c>
      <c r="I18" s="58"/>
    </row>
    <row r="19" spans="2:12">
      <c r="B19" s="59" t="s">
        <v>291</v>
      </c>
      <c r="D19" s="181">
        <v>22000</v>
      </c>
      <c r="E19" s="181">
        <v>11000</v>
      </c>
      <c r="F19" s="61"/>
      <c r="G19" s="93"/>
      <c r="H19" s="268" t="str">
        <f>[22]step1!$L$4</f>
        <v>new van</v>
      </c>
      <c r="I19" s="61"/>
      <c r="J19" s="93"/>
    </row>
    <row r="20" spans="2:12">
      <c r="B20" s="59" t="s">
        <v>304</v>
      </c>
      <c r="D20" s="181">
        <v>700</v>
      </c>
      <c r="E20" s="181">
        <v>2000</v>
      </c>
      <c r="F20" s="61"/>
      <c r="G20" s="152"/>
      <c r="H20" s="269" t="str">
        <f>[22]step1!$L$11</f>
        <v>salvage value</v>
      </c>
      <c r="I20" s="270" t="s">
        <v>305</v>
      </c>
      <c r="J20" s="93"/>
      <c r="K20" s="132"/>
      <c r="L20" s="84"/>
    </row>
    <row r="21" spans="2:12">
      <c r="B21" s="59" t="s">
        <v>284</v>
      </c>
      <c r="C21" s="271"/>
      <c r="D21" s="181">
        <v>8000</v>
      </c>
      <c r="E21" s="181">
        <v>4000</v>
      </c>
      <c r="F21" s="61"/>
      <c r="G21" s="93"/>
      <c r="H21" s="272">
        <v>8000</v>
      </c>
      <c r="I21" s="273">
        <f>E55</f>
        <v>2.2939366404328698E-2</v>
      </c>
      <c r="J21" s="93"/>
    </row>
    <row r="22" spans="2:12">
      <c r="B22" s="274" t="s">
        <v>306</v>
      </c>
      <c r="C22" s="275"/>
      <c r="D22" s="63"/>
      <c r="E22" s="63"/>
      <c r="F22" s="64"/>
      <c r="G22" s="152"/>
      <c r="H22" s="276">
        <v>9000</v>
      </c>
      <c r="I22" s="277">
        <v>4.5815663141077545E-2</v>
      </c>
      <c r="J22" s="93"/>
    </row>
    <row r="23" spans="2:12">
      <c r="C23" s="271"/>
      <c r="G23" s="152"/>
      <c r="H23" s="276">
        <v>10000</v>
      </c>
      <c r="I23" s="277">
        <v>6.652557899811895E-2</v>
      </c>
      <c r="J23" s="93"/>
    </row>
    <row r="24" spans="2:12">
      <c r="C24" s="271"/>
      <c r="G24" s="93"/>
      <c r="H24" s="276">
        <v>11000</v>
      </c>
      <c r="I24" s="277">
        <v>8.5491355954284254E-2</v>
      </c>
      <c r="J24" s="93"/>
    </row>
    <row r="25" spans="2:12">
      <c r="B25" s="278" t="s">
        <v>301</v>
      </c>
      <c r="C25" s="279"/>
      <c r="D25" s="148" t="s">
        <v>307</v>
      </c>
      <c r="E25" s="57"/>
      <c r="F25" s="280"/>
      <c r="G25" s="159"/>
      <c r="H25" s="281">
        <v>12000</v>
      </c>
      <c r="I25" s="282">
        <v>0.10301854986538794</v>
      </c>
      <c r="J25" s="93"/>
    </row>
    <row r="26" spans="2:12">
      <c r="B26" s="139" t="s">
        <v>99</v>
      </c>
      <c r="C26" s="283" t="s">
        <v>286</v>
      </c>
      <c r="D26" s="283" t="s">
        <v>308</v>
      </c>
      <c r="E26" s="63" t="s">
        <v>108</v>
      </c>
      <c r="F26" s="215" t="s">
        <v>136</v>
      </c>
      <c r="G26" s="93"/>
      <c r="H26" s="93"/>
      <c r="I26" s="160"/>
      <c r="J26" s="93"/>
    </row>
    <row r="27" spans="2:12">
      <c r="B27" s="59">
        <v>0</v>
      </c>
      <c r="C27" s="284">
        <f>-D19</f>
        <v>-22000</v>
      </c>
      <c r="F27" s="285">
        <f t="shared" ref="F27:F32" si="0">C27+D27+E27</f>
        <v>-22000</v>
      </c>
      <c r="G27" s="93"/>
      <c r="H27" s="161" t="s">
        <v>309</v>
      </c>
      <c r="I27" s="150"/>
      <c r="J27" s="93"/>
    </row>
    <row r="28" spans="2:12">
      <c r="B28" s="59">
        <v>1</v>
      </c>
      <c r="C28" s="70"/>
      <c r="D28" s="152">
        <v>0</v>
      </c>
      <c r="E28" s="132"/>
      <c r="F28" s="286">
        <f t="shared" si="0"/>
        <v>0</v>
      </c>
      <c r="G28" s="93"/>
      <c r="H28" s="287" t="s">
        <v>174</v>
      </c>
      <c r="I28" s="288" t="s">
        <v>175</v>
      </c>
      <c r="J28" s="93"/>
    </row>
    <row r="29" spans="2:12">
      <c r="B29" s="69">
        <v>2</v>
      </c>
      <c r="C29" s="70"/>
      <c r="D29" s="152">
        <v>0</v>
      </c>
      <c r="E29" s="132"/>
      <c r="F29" s="286">
        <f t="shared" si="0"/>
        <v>0</v>
      </c>
      <c r="G29" s="164"/>
      <c r="H29" s="289" t="str">
        <f>IF(MAX(I21:I25)&gt;[22]step1!L8,"X","")</f>
        <v/>
      </c>
      <c r="I29" s="290" t="str">
        <f>IF(MAX(I21:I25)&lt;[22]step1!L8,"X","")</f>
        <v>X</v>
      </c>
      <c r="J29" s="93"/>
    </row>
    <row r="30" spans="2:12">
      <c r="B30" s="69">
        <v>3</v>
      </c>
      <c r="C30" s="70"/>
      <c r="D30" s="291">
        <f>-$D$20</f>
        <v>-700</v>
      </c>
      <c r="E30" s="152"/>
      <c r="F30" s="285">
        <f t="shared" si="0"/>
        <v>-700</v>
      </c>
      <c r="G30" s="93"/>
      <c r="H30" s="93"/>
      <c r="I30" s="93"/>
      <c r="J30" s="93"/>
    </row>
    <row r="31" spans="2:12">
      <c r="B31" s="69">
        <v>4</v>
      </c>
      <c r="C31" s="70"/>
      <c r="D31" s="291">
        <f>-$D$20</f>
        <v>-700</v>
      </c>
      <c r="E31" s="152"/>
      <c r="F31" s="285">
        <f t="shared" si="0"/>
        <v>-700</v>
      </c>
      <c r="G31" s="159"/>
      <c r="H31" s="93"/>
      <c r="I31" s="93"/>
      <c r="J31" s="93"/>
    </row>
    <row r="32" spans="2:12">
      <c r="B32" s="139">
        <v>5</v>
      </c>
      <c r="C32" s="156"/>
      <c r="D32" s="292">
        <f>-$D$20</f>
        <v>-700</v>
      </c>
      <c r="E32" s="157">
        <f>D21</f>
        <v>8000</v>
      </c>
      <c r="F32" s="293">
        <f t="shared" si="0"/>
        <v>7300</v>
      </c>
      <c r="G32" s="93"/>
      <c r="H32" s="93"/>
      <c r="I32" s="93"/>
      <c r="J32" s="93"/>
    </row>
    <row r="33" spans="2:10">
      <c r="B33" s="125"/>
      <c r="C33" s="164"/>
      <c r="D33" s="93"/>
      <c r="E33" s="152"/>
      <c r="F33" s="93"/>
      <c r="G33" s="160"/>
      <c r="H33" s="168"/>
      <c r="I33" s="93"/>
      <c r="J33" s="93"/>
    </row>
    <row r="34" spans="2:10">
      <c r="B34" s="93"/>
      <c r="C34" s="164"/>
      <c r="D34" s="93"/>
      <c r="E34" s="152"/>
      <c r="F34" s="93"/>
      <c r="G34" s="93"/>
      <c r="H34" s="93"/>
      <c r="I34" s="93"/>
      <c r="J34" s="93"/>
    </row>
    <row r="35" spans="2:10">
      <c r="B35" s="278" t="s">
        <v>302</v>
      </c>
      <c r="C35" s="279"/>
      <c r="D35" s="148" t="s">
        <v>307</v>
      </c>
      <c r="E35" s="57"/>
      <c r="F35" s="280"/>
      <c r="G35" s="93"/>
      <c r="H35" s="93"/>
      <c r="I35" s="93"/>
      <c r="J35" s="93"/>
    </row>
    <row r="36" spans="2:10">
      <c r="B36" s="139" t="s">
        <v>99</v>
      </c>
      <c r="C36" s="283" t="s">
        <v>286</v>
      </c>
      <c r="D36" s="283" t="s">
        <v>308</v>
      </c>
      <c r="E36" s="63" t="s">
        <v>108</v>
      </c>
      <c r="F36" s="215" t="s">
        <v>136</v>
      </c>
    </row>
    <row r="37" spans="2:10">
      <c r="B37" s="59">
        <v>0</v>
      </c>
      <c r="C37" s="284">
        <f>-E19</f>
        <v>-11000</v>
      </c>
      <c r="F37" s="285">
        <f t="shared" ref="F37:F42" si="1">C37+D37+E37</f>
        <v>-11000</v>
      </c>
    </row>
    <row r="38" spans="2:10">
      <c r="B38" s="59">
        <v>1</v>
      </c>
      <c r="C38" s="70"/>
      <c r="D38" s="291">
        <f>-$E$20</f>
        <v>-2000</v>
      </c>
      <c r="F38" s="285">
        <f t="shared" si="1"/>
        <v>-2000</v>
      </c>
    </row>
    <row r="39" spans="2:10">
      <c r="B39" s="69">
        <v>2</v>
      </c>
      <c r="C39" s="70"/>
      <c r="D39" s="291">
        <f>-$E$20</f>
        <v>-2000</v>
      </c>
      <c r="F39" s="285">
        <f t="shared" si="1"/>
        <v>-2000</v>
      </c>
    </row>
    <row r="40" spans="2:10">
      <c r="B40" s="69">
        <v>3</v>
      </c>
      <c r="C40" s="70"/>
      <c r="D40" s="291">
        <f>-$E$20</f>
        <v>-2000</v>
      </c>
      <c r="E40" s="152"/>
      <c r="F40" s="285">
        <f t="shared" si="1"/>
        <v>-2000</v>
      </c>
    </row>
    <row r="41" spans="2:10">
      <c r="B41" s="69">
        <v>4</v>
      </c>
      <c r="C41" s="70"/>
      <c r="D41" s="291">
        <f>-$E$20</f>
        <v>-2000</v>
      </c>
      <c r="E41" s="152"/>
      <c r="F41" s="285">
        <f t="shared" si="1"/>
        <v>-2000</v>
      </c>
    </row>
    <row r="42" spans="2:10">
      <c r="B42" s="139">
        <v>5</v>
      </c>
      <c r="C42" s="156"/>
      <c r="D42" s="292">
        <f>-$E$20</f>
        <v>-2000</v>
      </c>
      <c r="E42" s="157">
        <f>E21</f>
        <v>4000</v>
      </c>
      <c r="F42" s="293">
        <f t="shared" si="1"/>
        <v>2000</v>
      </c>
    </row>
    <row r="43" spans="2:10">
      <c r="C43" s="74"/>
    </row>
    <row r="45" spans="2:10">
      <c r="B45" s="278" t="s">
        <v>310</v>
      </c>
      <c r="C45" s="57"/>
      <c r="D45" s="57"/>
      <c r="E45" s="57"/>
      <c r="F45" s="58"/>
    </row>
    <row r="46" spans="2:10">
      <c r="B46" s="62" t="s">
        <v>99</v>
      </c>
      <c r="C46" s="63" t="s">
        <v>301</v>
      </c>
      <c r="D46" s="63" t="s">
        <v>302</v>
      </c>
      <c r="E46" s="63" t="s">
        <v>311</v>
      </c>
      <c r="F46" s="64"/>
    </row>
    <row r="47" spans="2:10">
      <c r="B47" s="59">
        <v>0</v>
      </c>
      <c r="C47" s="284">
        <f t="shared" ref="C47:C52" si="2">F27</f>
        <v>-22000</v>
      </c>
      <c r="D47" s="284">
        <f t="shared" ref="D47:D52" si="3">F37</f>
        <v>-11000</v>
      </c>
      <c r="E47" s="284">
        <f t="shared" ref="E47:E52" si="4">C47-D47</f>
        <v>-11000</v>
      </c>
      <c r="F47" s="61"/>
    </row>
    <row r="48" spans="2:10">
      <c r="B48" s="59">
        <v>1</v>
      </c>
      <c r="C48" s="284">
        <f t="shared" si="2"/>
        <v>0</v>
      </c>
      <c r="D48" s="284">
        <f t="shared" si="3"/>
        <v>-2000</v>
      </c>
      <c r="E48" s="284">
        <f t="shared" si="4"/>
        <v>2000</v>
      </c>
      <c r="F48" s="61"/>
    </row>
    <row r="49" spans="2:6">
      <c r="B49" s="59">
        <v>2</v>
      </c>
      <c r="C49" s="284">
        <f t="shared" si="2"/>
        <v>0</v>
      </c>
      <c r="D49" s="284">
        <f t="shared" si="3"/>
        <v>-2000</v>
      </c>
      <c r="E49" s="284">
        <f t="shared" si="4"/>
        <v>2000</v>
      </c>
      <c r="F49" s="61"/>
    </row>
    <row r="50" spans="2:6">
      <c r="B50" s="59">
        <v>3</v>
      </c>
      <c r="C50" s="284">
        <f t="shared" si="2"/>
        <v>-700</v>
      </c>
      <c r="D50" s="284">
        <f t="shared" si="3"/>
        <v>-2000</v>
      </c>
      <c r="E50" s="284">
        <f t="shared" si="4"/>
        <v>1300</v>
      </c>
      <c r="F50" s="61"/>
    </row>
    <row r="51" spans="2:6">
      <c r="B51" s="59">
        <v>4</v>
      </c>
      <c r="C51" s="284">
        <f t="shared" si="2"/>
        <v>-700</v>
      </c>
      <c r="D51" s="284">
        <f t="shared" si="3"/>
        <v>-2000</v>
      </c>
      <c r="E51" s="284">
        <f t="shared" si="4"/>
        <v>1300</v>
      </c>
      <c r="F51" s="61"/>
    </row>
    <row r="52" spans="2:6">
      <c r="B52" s="59">
        <v>5</v>
      </c>
      <c r="C52" s="284">
        <f t="shared" si="2"/>
        <v>7300</v>
      </c>
      <c r="D52" s="284">
        <f t="shared" si="3"/>
        <v>2000</v>
      </c>
      <c r="E52" s="284">
        <f t="shared" si="4"/>
        <v>5300</v>
      </c>
      <c r="F52" s="61"/>
    </row>
    <row r="53" spans="2:6">
      <c r="B53" s="59"/>
      <c r="F53" s="61"/>
    </row>
    <row r="54" spans="2:6">
      <c r="B54" s="59" t="s">
        <v>312</v>
      </c>
      <c r="C54" s="294"/>
      <c r="D54" s="101" t="s">
        <v>130</v>
      </c>
      <c r="F54" s="61"/>
    </row>
    <row r="55" spans="2:6">
      <c r="B55" s="62"/>
      <c r="C55" s="63"/>
      <c r="D55" s="63" t="s">
        <v>229</v>
      </c>
      <c r="E55" s="295">
        <f>IRR(E47:E52)</f>
        <v>2.2939366404328698E-2</v>
      </c>
      <c r="F55" s="64"/>
    </row>
    <row r="58" spans="2:6" ht="17.399999999999999">
      <c r="B58" s="296" t="s">
        <v>243</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AE425-867A-4444-AAC9-5164413DE40E}">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802F5-19F1-4FAA-A7DD-5147D18A07F8}">
  <dimension ref="A1:L59"/>
  <sheetViews>
    <sheetView topLeftCell="A23" workbookViewId="0">
      <selection activeCell="N29" sqref="N29"/>
    </sheetView>
  </sheetViews>
  <sheetFormatPr defaultRowHeight="14.4"/>
  <cols>
    <col min="2" max="2" width="9.6640625" customWidth="1"/>
    <col min="4" max="4" width="9.6640625" customWidth="1"/>
    <col min="5" max="5" width="11.6640625" customWidth="1"/>
    <col min="6" max="6" width="10.6640625" customWidth="1"/>
    <col min="9" max="9" width="6.6640625" customWidth="1"/>
    <col min="258" max="258" width="9.6640625" customWidth="1"/>
    <col min="260" max="260" width="9.6640625" customWidth="1"/>
    <col min="261" max="261" width="11.6640625" customWidth="1"/>
    <col min="262" max="262" width="10.6640625" customWidth="1"/>
    <col min="265" max="265" width="6.6640625" customWidth="1"/>
    <col min="514" max="514" width="9.6640625" customWidth="1"/>
    <col min="516" max="516" width="9.6640625" customWidth="1"/>
    <col min="517" max="517" width="11.6640625" customWidth="1"/>
    <col min="518" max="518" width="10.6640625" customWidth="1"/>
    <col min="521" max="521" width="6.6640625" customWidth="1"/>
    <col min="770" max="770" width="9.6640625" customWidth="1"/>
    <col min="772" max="772" width="9.6640625" customWidth="1"/>
    <col min="773" max="773" width="11.6640625" customWidth="1"/>
    <col min="774" max="774" width="10.6640625" customWidth="1"/>
    <col min="777" max="777" width="6.6640625" customWidth="1"/>
    <col min="1026" max="1026" width="9.6640625" customWidth="1"/>
    <col min="1028" max="1028" width="9.6640625" customWidth="1"/>
    <col min="1029" max="1029" width="11.6640625" customWidth="1"/>
    <col min="1030" max="1030" width="10.6640625" customWidth="1"/>
    <col min="1033" max="1033" width="6.6640625" customWidth="1"/>
    <col min="1282" max="1282" width="9.6640625" customWidth="1"/>
    <col min="1284" max="1284" width="9.6640625" customWidth="1"/>
    <col min="1285" max="1285" width="11.6640625" customWidth="1"/>
    <col min="1286" max="1286" width="10.6640625" customWidth="1"/>
    <col min="1289" max="1289" width="6.6640625" customWidth="1"/>
    <col min="1538" max="1538" width="9.6640625" customWidth="1"/>
    <col min="1540" max="1540" width="9.6640625" customWidth="1"/>
    <col min="1541" max="1541" width="11.6640625" customWidth="1"/>
    <col min="1542" max="1542" width="10.6640625" customWidth="1"/>
    <col min="1545" max="1545" width="6.6640625" customWidth="1"/>
    <col min="1794" max="1794" width="9.6640625" customWidth="1"/>
    <col min="1796" max="1796" width="9.6640625" customWidth="1"/>
    <col min="1797" max="1797" width="11.6640625" customWidth="1"/>
    <col min="1798" max="1798" width="10.6640625" customWidth="1"/>
    <col min="1801" max="1801" width="6.6640625" customWidth="1"/>
    <col min="2050" max="2050" width="9.6640625" customWidth="1"/>
    <col min="2052" max="2052" width="9.6640625" customWidth="1"/>
    <col min="2053" max="2053" width="11.6640625" customWidth="1"/>
    <col min="2054" max="2054" width="10.6640625" customWidth="1"/>
    <col min="2057" max="2057" width="6.6640625" customWidth="1"/>
    <col min="2306" max="2306" width="9.6640625" customWidth="1"/>
    <col min="2308" max="2308" width="9.6640625" customWidth="1"/>
    <col min="2309" max="2309" width="11.6640625" customWidth="1"/>
    <col min="2310" max="2310" width="10.6640625" customWidth="1"/>
    <col min="2313" max="2313" width="6.6640625" customWidth="1"/>
    <col min="2562" max="2562" width="9.6640625" customWidth="1"/>
    <col min="2564" max="2564" width="9.6640625" customWidth="1"/>
    <col min="2565" max="2565" width="11.6640625" customWidth="1"/>
    <col min="2566" max="2566" width="10.6640625" customWidth="1"/>
    <col min="2569" max="2569" width="6.6640625" customWidth="1"/>
    <col min="2818" max="2818" width="9.6640625" customWidth="1"/>
    <col min="2820" max="2820" width="9.6640625" customWidth="1"/>
    <col min="2821" max="2821" width="11.6640625" customWidth="1"/>
    <col min="2822" max="2822" width="10.6640625" customWidth="1"/>
    <col min="2825" max="2825" width="6.6640625" customWidth="1"/>
    <col min="3074" max="3074" width="9.6640625" customWidth="1"/>
    <col min="3076" max="3076" width="9.6640625" customWidth="1"/>
    <col min="3077" max="3077" width="11.6640625" customWidth="1"/>
    <col min="3078" max="3078" width="10.6640625" customWidth="1"/>
    <col min="3081" max="3081" width="6.6640625" customWidth="1"/>
    <col min="3330" max="3330" width="9.6640625" customWidth="1"/>
    <col min="3332" max="3332" width="9.6640625" customWidth="1"/>
    <col min="3333" max="3333" width="11.6640625" customWidth="1"/>
    <col min="3334" max="3334" width="10.6640625" customWidth="1"/>
    <col min="3337" max="3337" width="6.6640625" customWidth="1"/>
    <col min="3586" max="3586" width="9.6640625" customWidth="1"/>
    <col min="3588" max="3588" width="9.6640625" customWidth="1"/>
    <col min="3589" max="3589" width="11.6640625" customWidth="1"/>
    <col min="3590" max="3590" width="10.6640625" customWidth="1"/>
    <col min="3593" max="3593" width="6.6640625" customWidth="1"/>
    <col min="3842" max="3842" width="9.6640625" customWidth="1"/>
    <col min="3844" max="3844" width="9.6640625" customWidth="1"/>
    <col min="3845" max="3845" width="11.6640625" customWidth="1"/>
    <col min="3846" max="3846" width="10.6640625" customWidth="1"/>
    <col min="3849" max="3849" width="6.6640625" customWidth="1"/>
    <col min="4098" max="4098" width="9.6640625" customWidth="1"/>
    <col min="4100" max="4100" width="9.6640625" customWidth="1"/>
    <col min="4101" max="4101" width="11.6640625" customWidth="1"/>
    <col min="4102" max="4102" width="10.6640625" customWidth="1"/>
    <col min="4105" max="4105" width="6.6640625" customWidth="1"/>
    <col min="4354" max="4354" width="9.6640625" customWidth="1"/>
    <col min="4356" max="4356" width="9.6640625" customWidth="1"/>
    <col min="4357" max="4357" width="11.6640625" customWidth="1"/>
    <col min="4358" max="4358" width="10.6640625" customWidth="1"/>
    <col min="4361" max="4361" width="6.6640625" customWidth="1"/>
    <col min="4610" max="4610" width="9.6640625" customWidth="1"/>
    <col min="4612" max="4612" width="9.6640625" customWidth="1"/>
    <col min="4613" max="4613" width="11.6640625" customWidth="1"/>
    <col min="4614" max="4614" width="10.6640625" customWidth="1"/>
    <col min="4617" max="4617" width="6.6640625" customWidth="1"/>
    <col min="4866" max="4866" width="9.6640625" customWidth="1"/>
    <col min="4868" max="4868" width="9.6640625" customWidth="1"/>
    <col min="4869" max="4869" width="11.6640625" customWidth="1"/>
    <col min="4870" max="4870" width="10.6640625" customWidth="1"/>
    <col min="4873" max="4873" width="6.6640625" customWidth="1"/>
    <col min="5122" max="5122" width="9.6640625" customWidth="1"/>
    <col min="5124" max="5124" width="9.6640625" customWidth="1"/>
    <col min="5125" max="5125" width="11.6640625" customWidth="1"/>
    <col min="5126" max="5126" width="10.6640625" customWidth="1"/>
    <col min="5129" max="5129" width="6.6640625" customWidth="1"/>
    <col min="5378" max="5378" width="9.6640625" customWidth="1"/>
    <col min="5380" max="5380" width="9.6640625" customWidth="1"/>
    <col min="5381" max="5381" width="11.6640625" customWidth="1"/>
    <col min="5382" max="5382" width="10.6640625" customWidth="1"/>
    <col min="5385" max="5385" width="6.6640625" customWidth="1"/>
    <col min="5634" max="5634" width="9.6640625" customWidth="1"/>
    <col min="5636" max="5636" width="9.6640625" customWidth="1"/>
    <col min="5637" max="5637" width="11.6640625" customWidth="1"/>
    <col min="5638" max="5638" width="10.6640625" customWidth="1"/>
    <col min="5641" max="5641" width="6.6640625" customWidth="1"/>
    <col min="5890" max="5890" width="9.6640625" customWidth="1"/>
    <col min="5892" max="5892" width="9.6640625" customWidth="1"/>
    <col min="5893" max="5893" width="11.6640625" customWidth="1"/>
    <col min="5894" max="5894" width="10.6640625" customWidth="1"/>
    <col min="5897" max="5897" width="6.6640625" customWidth="1"/>
    <col min="6146" max="6146" width="9.6640625" customWidth="1"/>
    <col min="6148" max="6148" width="9.6640625" customWidth="1"/>
    <col min="6149" max="6149" width="11.6640625" customWidth="1"/>
    <col min="6150" max="6150" width="10.6640625" customWidth="1"/>
    <col min="6153" max="6153" width="6.6640625" customWidth="1"/>
    <col min="6402" max="6402" width="9.6640625" customWidth="1"/>
    <col min="6404" max="6404" width="9.6640625" customWidth="1"/>
    <col min="6405" max="6405" width="11.6640625" customWidth="1"/>
    <col min="6406" max="6406" width="10.6640625" customWidth="1"/>
    <col min="6409" max="6409" width="6.6640625" customWidth="1"/>
    <col min="6658" max="6658" width="9.6640625" customWidth="1"/>
    <col min="6660" max="6660" width="9.6640625" customWidth="1"/>
    <col min="6661" max="6661" width="11.6640625" customWidth="1"/>
    <col min="6662" max="6662" width="10.6640625" customWidth="1"/>
    <col min="6665" max="6665" width="6.6640625" customWidth="1"/>
    <col min="6914" max="6914" width="9.6640625" customWidth="1"/>
    <col min="6916" max="6916" width="9.6640625" customWidth="1"/>
    <col min="6917" max="6917" width="11.6640625" customWidth="1"/>
    <col min="6918" max="6918" width="10.6640625" customWidth="1"/>
    <col min="6921" max="6921" width="6.6640625" customWidth="1"/>
    <col min="7170" max="7170" width="9.6640625" customWidth="1"/>
    <col min="7172" max="7172" width="9.6640625" customWidth="1"/>
    <col min="7173" max="7173" width="11.6640625" customWidth="1"/>
    <col min="7174" max="7174" width="10.6640625" customWidth="1"/>
    <col min="7177" max="7177" width="6.6640625" customWidth="1"/>
    <col min="7426" max="7426" width="9.6640625" customWidth="1"/>
    <col min="7428" max="7428" width="9.6640625" customWidth="1"/>
    <col min="7429" max="7429" width="11.6640625" customWidth="1"/>
    <col min="7430" max="7430" width="10.6640625" customWidth="1"/>
    <col min="7433" max="7433" width="6.6640625" customWidth="1"/>
    <col min="7682" max="7682" width="9.6640625" customWidth="1"/>
    <col min="7684" max="7684" width="9.6640625" customWidth="1"/>
    <col min="7685" max="7685" width="11.6640625" customWidth="1"/>
    <col min="7686" max="7686" width="10.6640625" customWidth="1"/>
    <col min="7689" max="7689" width="6.6640625" customWidth="1"/>
    <col min="7938" max="7938" width="9.6640625" customWidth="1"/>
    <col min="7940" max="7940" width="9.6640625" customWidth="1"/>
    <col min="7941" max="7941" width="11.6640625" customWidth="1"/>
    <col min="7942" max="7942" width="10.6640625" customWidth="1"/>
    <col min="7945" max="7945" width="6.6640625" customWidth="1"/>
    <col min="8194" max="8194" width="9.6640625" customWidth="1"/>
    <col min="8196" max="8196" width="9.6640625" customWidth="1"/>
    <col min="8197" max="8197" width="11.6640625" customWidth="1"/>
    <col min="8198" max="8198" width="10.6640625" customWidth="1"/>
    <col min="8201" max="8201" width="6.6640625" customWidth="1"/>
    <col min="8450" max="8450" width="9.6640625" customWidth="1"/>
    <col min="8452" max="8452" width="9.6640625" customWidth="1"/>
    <col min="8453" max="8453" width="11.6640625" customWidth="1"/>
    <col min="8454" max="8454" width="10.6640625" customWidth="1"/>
    <col min="8457" max="8457" width="6.6640625" customWidth="1"/>
    <col min="8706" max="8706" width="9.6640625" customWidth="1"/>
    <col min="8708" max="8708" width="9.6640625" customWidth="1"/>
    <col min="8709" max="8709" width="11.6640625" customWidth="1"/>
    <col min="8710" max="8710" width="10.6640625" customWidth="1"/>
    <col min="8713" max="8713" width="6.6640625" customWidth="1"/>
    <col min="8962" max="8962" width="9.6640625" customWidth="1"/>
    <col min="8964" max="8964" width="9.6640625" customWidth="1"/>
    <col min="8965" max="8965" width="11.6640625" customWidth="1"/>
    <col min="8966" max="8966" width="10.6640625" customWidth="1"/>
    <col min="8969" max="8969" width="6.6640625" customWidth="1"/>
    <col min="9218" max="9218" width="9.6640625" customWidth="1"/>
    <col min="9220" max="9220" width="9.6640625" customWidth="1"/>
    <col min="9221" max="9221" width="11.6640625" customWidth="1"/>
    <col min="9222" max="9222" width="10.6640625" customWidth="1"/>
    <col min="9225" max="9225" width="6.6640625" customWidth="1"/>
    <col min="9474" max="9474" width="9.6640625" customWidth="1"/>
    <col min="9476" max="9476" width="9.6640625" customWidth="1"/>
    <col min="9477" max="9477" width="11.6640625" customWidth="1"/>
    <col min="9478" max="9478" width="10.6640625" customWidth="1"/>
    <col min="9481" max="9481" width="6.6640625" customWidth="1"/>
    <col min="9730" max="9730" width="9.6640625" customWidth="1"/>
    <col min="9732" max="9732" width="9.6640625" customWidth="1"/>
    <col min="9733" max="9733" width="11.6640625" customWidth="1"/>
    <col min="9734" max="9734" width="10.6640625" customWidth="1"/>
    <col min="9737" max="9737" width="6.6640625" customWidth="1"/>
    <col min="9986" max="9986" width="9.6640625" customWidth="1"/>
    <col min="9988" max="9988" width="9.6640625" customWidth="1"/>
    <col min="9989" max="9989" width="11.6640625" customWidth="1"/>
    <col min="9990" max="9990" width="10.6640625" customWidth="1"/>
    <col min="9993" max="9993" width="6.6640625" customWidth="1"/>
    <col min="10242" max="10242" width="9.6640625" customWidth="1"/>
    <col min="10244" max="10244" width="9.6640625" customWidth="1"/>
    <col min="10245" max="10245" width="11.6640625" customWidth="1"/>
    <col min="10246" max="10246" width="10.6640625" customWidth="1"/>
    <col min="10249" max="10249" width="6.6640625" customWidth="1"/>
    <col min="10498" max="10498" width="9.6640625" customWidth="1"/>
    <col min="10500" max="10500" width="9.6640625" customWidth="1"/>
    <col min="10501" max="10501" width="11.6640625" customWidth="1"/>
    <col min="10502" max="10502" width="10.6640625" customWidth="1"/>
    <col min="10505" max="10505" width="6.6640625" customWidth="1"/>
    <col min="10754" max="10754" width="9.6640625" customWidth="1"/>
    <col min="10756" max="10756" width="9.6640625" customWidth="1"/>
    <col min="10757" max="10757" width="11.6640625" customWidth="1"/>
    <col min="10758" max="10758" width="10.6640625" customWidth="1"/>
    <col min="10761" max="10761" width="6.6640625" customWidth="1"/>
    <col min="11010" max="11010" width="9.6640625" customWidth="1"/>
    <col min="11012" max="11012" width="9.6640625" customWidth="1"/>
    <col min="11013" max="11013" width="11.6640625" customWidth="1"/>
    <col min="11014" max="11014" width="10.6640625" customWidth="1"/>
    <col min="11017" max="11017" width="6.6640625" customWidth="1"/>
    <col min="11266" max="11266" width="9.6640625" customWidth="1"/>
    <col min="11268" max="11268" width="9.6640625" customWidth="1"/>
    <col min="11269" max="11269" width="11.6640625" customWidth="1"/>
    <col min="11270" max="11270" width="10.6640625" customWidth="1"/>
    <col min="11273" max="11273" width="6.6640625" customWidth="1"/>
    <col min="11522" max="11522" width="9.6640625" customWidth="1"/>
    <col min="11524" max="11524" width="9.6640625" customWidth="1"/>
    <col min="11525" max="11525" width="11.6640625" customWidth="1"/>
    <col min="11526" max="11526" width="10.6640625" customWidth="1"/>
    <col min="11529" max="11529" width="6.6640625" customWidth="1"/>
    <col min="11778" max="11778" width="9.6640625" customWidth="1"/>
    <col min="11780" max="11780" width="9.6640625" customWidth="1"/>
    <col min="11781" max="11781" width="11.6640625" customWidth="1"/>
    <col min="11782" max="11782" width="10.6640625" customWidth="1"/>
    <col min="11785" max="11785" width="6.6640625" customWidth="1"/>
    <col min="12034" max="12034" width="9.6640625" customWidth="1"/>
    <col min="12036" max="12036" width="9.6640625" customWidth="1"/>
    <col min="12037" max="12037" width="11.6640625" customWidth="1"/>
    <col min="12038" max="12038" width="10.6640625" customWidth="1"/>
    <col min="12041" max="12041" width="6.6640625" customWidth="1"/>
    <col min="12290" max="12290" width="9.6640625" customWidth="1"/>
    <col min="12292" max="12292" width="9.6640625" customWidth="1"/>
    <col min="12293" max="12293" width="11.6640625" customWidth="1"/>
    <col min="12294" max="12294" width="10.6640625" customWidth="1"/>
    <col min="12297" max="12297" width="6.6640625" customWidth="1"/>
    <col min="12546" max="12546" width="9.6640625" customWidth="1"/>
    <col min="12548" max="12548" width="9.6640625" customWidth="1"/>
    <col min="12549" max="12549" width="11.6640625" customWidth="1"/>
    <col min="12550" max="12550" width="10.6640625" customWidth="1"/>
    <col min="12553" max="12553" width="6.6640625" customWidth="1"/>
    <col min="12802" max="12802" width="9.6640625" customWidth="1"/>
    <col min="12804" max="12804" width="9.6640625" customWidth="1"/>
    <col min="12805" max="12805" width="11.6640625" customWidth="1"/>
    <col min="12806" max="12806" width="10.6640625" customWidth="1"/>
    <col min="12809" max="12809" width="6.6640625" customWidth="1"/>
    <col min="13058" max="13058" width="9.6640625" customWidth="1"/>
    <col min="13060" max="13060" width="9.6640625" customWidth="1"/>
    <col min="13061" max="13061" width="11.6640625" customWidth="1"/>
    <col min="13062" max="13062" width="10.6640625" customWidth="1"/>
    <col min="13065" max="13065" width="6.6640625" customWidth="1"/>
    <col min="13314" max="13314" width="9.6640625" customWidth="1"/>
    <col min="13316" max="13316" width="9.6640625" customWidth="1"/>
    <col min="13317" max="13317" width="11.6640625" customWidth="1"/>
    <col min="13318" max="13318" width="10.6640625" customWidth="1"/>
    <col min="13321" max="13321" width="6.6640625" customWidth="1"/>
    <col min="13570" max="13570" width="9.6640625" customWidth="1"/>
    <col min="13572" max="13572" width="9.6640625" customWidth="1"/>
    <col min="13573" max="13573" width="11.6640625" customWidth="1"/>
    <col min="13574" max="13574" width="10.6640625" customWidth="1"/>
    <col min="13577" max="13577" width="6.6640625" customWidth="1"/>
    <col min="13826" max="13826" width="9.6640625" customWidth="1"/>
    <col min="13828" max="13828" width="9.6640625" customWidth="1"/>
    <col min="13829" max="13829" width="11.6640625" customWidth="1"/>
    <col min="13830" max="13830" width="10.6640625" customWidth="1"/>
    <col min="13833" max="13833" width="6.6640625" customWidth="1"/>
    <col min="14082" max="14082" width="9.6640625" customWidth="1"/>
    <col min="14084" max="14084" width="9.6640625" customWidth="1"/>
    <col min="14085" max="14085" width="11.6640625" customWidth="1"/>
    <col min="14086" max="14086" width="10.6640625" customWidth="1"/>
    <col min="14089" max="14089" width="6.6640625" customWidth="1"/>
    <col min="14338" max="14338" width="9.6640625" customWidth="1"/>
    <col min="14340" max="14340" width="9.6640625" customWidth="1"/>
    <col min="14341" max="14341" width="11.6640625" customWidth="1"/>
    <col min="14342" max="14342" width="10.6640625" customWidth="1"/>
    <col min="14345" max="14345" width="6.6640625" customWidth="1"/>
    <col min="14594" max="14594" width="9.6640625" customWidth="1"/>
    <col min="14596" max="14596" width="9.6640625" customWidth="1"/>
    <col min="14597" max="14597" width="11.6640625" customWidth="1"/>
    <col min="14598" max="14598" width="10.6640625" customWidth="1"/>
    <col min="14601" max="14601" width="6.6640625" customWidth="1"/>
    <col min="14850" max="14850" width="9.6640625" customWidth="1"/>
    <col min="14852" max="14852" width="9.6640625" customWidth="1"/>
    <col min="14853" max="14853" width="11.6640625" customWidth="1"/>
    <col min="14854" max="14854" width="10.6640625" customWidth="1"/>
    <col min="14857" max="14857" width="6.6640625" customWidth="1"/>
    <col min="15106" max="15106" width="9.6640625" customWidth="1"/>
    <col min="15108" max="15108" width="9.6640625" customWidth="1"/>
    <col min="15109" max="15109" width="11.6640625" customWidth="1"/>
    <col min="15110" max="15110" width="10.6640625" customWidth="1"/>
    <col min="15113" max="15113" width="6.6640625" customWidth="1"/>
    <col min="15362" max="15362" width="9.6640625" customWidth="1"/>
    <col min="15364" max="15364" width="9.6640625" customWidth="1"/>
    <col min="15365" max="15365" width="11.6640625" customWidth="1"/>
    <col min="15366" max="15366" width="10.6640625" customWidth="1"/>
    <col min="15369" max="15369" width="6.6640625" customWidth="1"/>
    <col min="15618" max="15618" width="9.6640625" customWidth="1"/>
    <col min="15620" max="15620" width="9.6640625" customWidth="1"/>
    <col min="15621" max="15621" width="11.6640625" customWidth="1"/>
    <col min="15622" max="15622" width="10.6640625" customWidth="1"/>
    <col min="15625" max="15625" width="6.6640625" customWidth="1"/>
    <col min="15874" max="15874" width="9.6640625" customWidth="1"/>
    <col min="15876" max="15876" width="9.6640625" customWidth="1"/>
    <col min="15877" max="15877" width="11.6640625" customWidth="1"/>
    <col min="15878" max="15878" width="10.6640625" customWidth="1"/>
    <col min="15881" max="15881" width="6.6640625" customWidth="1"/>
    <col min="16130" max="16130" width="9.6640625" customWidth="1"/>
    <col min="16132" max="16132" width="9.6640625" customWidth="1"/>
    <col min="16133" max="16133" width="11.6640625" customWidth="1"/>
    <col min="16134" max="16134" width="10.6640625" customWidth="1"/>
    <col min="16137" max="16137" width="6.6640625" customWidth="1"/>
  </cols>
  <sheetData>
    <row r="1" spans="1:9" ht="17.399999999999999">
      <c r="D1" s="43" t="str">
        <f>[2]step1!D1</f>
        <v>After tax analysis - multiple alternatives</v>
      </c>
    </row>
    <row r="2" spans="1:9" ht="17.399999999999999">
      <c r="D2" s="43" t="str">
        <f>[2]step1!D2</f>
        <v>Facilities problems</v>
      </c>
    </row>
    <row r="4" spans="1:9">
      <c r="B4" s="44" t="str">
        <f>[2]step1!B4</f>
        <v>South Hawaii A &amp; M University (SHAMU) needs temporary air conditioning in their lab</v>
      </c>
      <c r="C4" s="45"/>
      <c r="D4" s="45"/>
      <c r="E4" s="45"/>
      <c r="F4" s="45"/>
      <c r="G4" s="45"/>
      <c r="H4" s="45"/>
      <c r="I4" s="46"/>
    </row>
    <row r="5" spans="1:9">
      <c r="B5" s="47" t="str">
        <f>[2]step1!B5</f>
        <v>for 3 years until their new power plant is completed.  The basic unit costs $40000 to</v>
      </c>
      <c r="C5" s="48"/>
      <c r="D5" s="48"/>
      <c r="E5" s="48"/>
      <c r="F5" s="48"/>
      <c r="G5" s="48"/>
      <c r="H5" s="49"/>
      <c r="I5" s="50"/>
    </row>
    <row r="6" spans="1:9">
      <c r="B6" s="47" t="str">
        <f>[2]step1!B6</f>
        <v>purchase, has annual fuel and maintenance expenses of $25000 per year, annual energy</v>
      </c>
      <c r="C6" s="48"/>
      <c r="D6" s="48"/>
      <c r="E6" s="48"/>
      <c r="F6" s="48"/>
      <c r="G6" s="48"/>
      <c r="H6" s="48"/>
      <c r="I6" s="50"/>
    </row>
    <row r="7" spans="1:9">
      <c r="B7" s="47" t="str">
        <f>[2]step1!B7</f>
        <v>savings of $35000, and salvage value of $30000.  The high efficiency unit costs $80000, with</v>
      </c>
      <c r="C7" s="48"/>
      <c r="D7" s="48"/>
      <c r="E7" s="48"/>
      <c r="F7" s="48"/>
      <c r="G7" s="48"/>
      <c r="H7" s="48"/>
      <c r="I7" s="50"/>
    </row>
    <row r="8" spans="1:9">
      <c r="B8" s="47" t="str">
        <f>[2]step1!B8</f>
        <v>annual expenses of $35000, annual savings of $60000, and salvage value of $60000.</v>
      </c>
      <c r="C8" s="48"/>
      <c r="D8" s="48"/>
      <c r="E8" s="48"/>
      <c r="F8" s="48"/>
      <c r="G8" s="48"/>
      <c r="H8" s="48"/>
      <c r="I8" s="50"/>
    </row>
    <row r="9" spans="1:9">
      <c r="B9" s="47" t="str">
        <f>[2]step1!B9</f>
        <v>The units will be MACRS depreciated using a 20 year recovery period.  Use IRR analysis</v>
      </c>
      <c r="C9" s="48"/>
      <c r="D9" s="48"/>
      <c r="E9" s="48"/>
      <c r="F9" s="48"/>
      <c r="G9" s="48"/>
      <c r="H9" s="48"/>
      <c r="I9" s="50"/>
    </row>
    <row r="10" spans="1:9">
      <c r="B10" s="51" t="str">
        <f>[2]step1!B10</f>
        <v>to select a unit to buy given an effective tax rate is 40% per year and a MARR of 18%.</v>
      </c>
      <c r="C10" s="52"/>
      <c r="D10" s="52"/>
      <c r="E10" s="52"/>
      <c r="F10" s="53"/>
      <c r="G10" s="52"/>
      <c r="H10" s="52"/>
      <c r="I10" s="54"/>
    </row>
    <row r="12" spans="1:9" ht="15.6">
      <c r="A12" s="55" t="s">
        <v>97</v>
      </c>
      <c r="B12" s="56"/>
      <c r="C12" s="57"/>
      <c r="D12" s="57"/>
      <c r="E12" s="57"/>
      <c r="F12" s="57"/>
      <c r="G12" s="57"/>
      <c r="H12" s="57"/>
      <c r="I12" s="58"/>
    </row>
    <row r="13" spans="1:9" ht="15.6">
      <c r="A13" s="59"/>
      <c r="B13" s="60" t="s">
        <v>124</v>
      </c>
      <c r="I13" s="61"/>
    </row>
    <row r="14" spans="1:9">
      <c r="A14" s="62"/>
      <c r="B14" s="63"/>
      <c r="C14" s="63"/>
      <c r="D14" s="63"/>
      <c r="E14" s="63"/>
      <c r="F14" s="63"/>
      <c r="G14" s="63"/>
      <c r="H14" s="63"/>
      <c r="I14" s="64"/>
    </row>
    <row r="16" spans="1:9">
      <c r="G16" s="65"/>
    </row>
    <row r="19" spans="1:12">
      <c r="E19" s="78" t="s">
        <v>111</v>
      </c>
      <c r="F19" s="57"/>
      <c r="G19" s="79">
        <f>[2]step1!L8</f>
        <v>0.4</v>
      </c>
    </row>
    <row r="20" spans="1:12">
      <c r="E20" s="62" t="s">
        <v>112</v>
      </c>
      <c r="F20" s="63"/>
      <c r="G20" s="80">
        <f>[2]step1!L10</f>
        <v>0.18</v>
      </c>
    </row>
    <row r="21" spans="1:12">
      <c r="B21" s="94" t="s">
        <v>123</v>
      </c>
    </row>
    <row r="22" spans="1:12" ht="28.8">
      <c r="A22" s="66" t="s">
        <v>99</v>
      </c>
      <c r="B22" s="67" t="s">
        <v>100</v>
      </c>
      <c r="C22" s="67" t="s">
        <v>101</v>
      </c>
      <c r="D22" s="67" t="s">
        <v>102</v>
      </c>
      <c r="E22" s="67" t="s">
        <v>103</v>
      </c>
      <c r="F22" s="67" t="s">
        <v>104</v>
      </c>
      <c r="G22" s="67" t="s">
        <v>105</v>
      </c>
      <c r="H22" s="67" t="s">
        <v>106</v>
      </c>
      <c r="I22" s="67"/>
      <c r="J22" s="67" t="s">
        <v>107</v>
      </c>
      <c r="K22" s="67" t="s">
        <v>108</v>
      </c>
      <c r="L22" s="68" t="s">
        <v>109</v>
      </c>
    </row>
    <row r="23" spans="1:12">
      <c r="A23" s="69">
        <v>0</v>
      </c>
      <c r="B23" s="70"/>
      <c r="C23" s="70"/>
      <c r="E23" s="70"/>
      <c r="F23" s="70"/>
      <c r="G23" s="70">
        <f>B23-C23-E23+F23</f>
        <v>0</v>
      </c>
      <c r="H23" s="70">
        <f>$G$19*G23</f>
        <v>0</v>
      </c>
      <c r="I23" s="70"/>
      <c r="J23" s="70">
        <f>[2]step1!L4</f>
        <v>40000</v>
      </c>
      <c r="K23" s="70"/>
      <c r="L23" s="71">
        <f>B23-C23-H23-J23+K23</f>
        <v>-40000</v>
      </c>
    </row>
    <row r="24" spans="1:12">
      <c r="A24" s="69">
        <v>1</v>
      </c>
      <c r="B24" s="70">
        <f>[2]step1!$L$1</f>
        <v>35000</v>
      </c>
      <c r="C24" s="70">
        <f>[2]step1!$L$3</f>
        <v>25000</v>
      </c>
      <c r="D24" s="72">
        <f>IF([2]step1!$L$11=7,0.1429,0.0375)</f>
        <v>3.7499999999999999E-2</v>
      </c>
      <c r="E24" s="70">
        <f>$J$23*D24</f>
        <v>1500</v>
      </c>
      <c r="F24" s="70"/>
      <c r="G24" s="70">
        <f>B24-C24-E24+F24</f>
        <v>8500</v>
      </c>
      <c r="H24" s="70">
        <f>$G$19*G24</f>
        <v>3400</v>
      </c>
      <c r="I24" s="70"/>
      <c r="J24" s="70"/>
      <c r="K24" s="70"/>
      <c r="L24" s="71">
        <f>B24-C24-H24-J24+K24</f>
        <v>6600</v>
      </c>
    </row>
    <row r="25" spans="1:12">
      <c r="A25" s="69">
        <v>2</v>
      </c>
      <c r="B25" s="70">
        <f>[2]step1!$L$1</f>
        <v>35000</v>
      </c>
      <c r="C25" s="70">
        <f>[2]step1!$L$3</f>
        <v>25000</v>
      </c>
      <c r="D25" s="72">
        <f>IF([2]step1!$L$11=7,0.2449,0.0722)</f>
        <v>7.22E-2</v>
      </c>
      <c r="E25" s="70">
        <f>$J$23*D25</f>
        <v>2888</v>
      </c>
      <c r="F25" s="70"/>
      <c r="G25" s="70">
        <f>B25-C25-E25+F25</f>
        <v>7112</v>
      </c>
      <c r="H25" s="70">
        <f>$G$19*G25</f>
        <v>2844.8</v>
      </c>
      <c r="I25" s="70"/>
      <c r="J25" s="70"/>
      <c r="K25" s="70"/>
      <c r="L25" s="71">
        <f>B25-C25-H25-J25+K25</f>
        <v>7155.2</v>
      </c>
    </row>
    <row r="26" spans="1:12">
      <c r="A26" s="69">
        <v>3</v>
      </c>
      <c r="B26" s="70">
        <f>[2]step1!$L$1</f>
        <v>35000</v>
      </c>
      <c r="C26" s="70">
        <f>[2]step1!$L$3</f>
        <v>25000</v>
      </c>
      <c r="D26" s="72">
        <f>IF([2]step1!$L$11=7,0.1749,0.0668)</f>
        <v>6.6799999999999998E-2</v>
      </c>
      <c r="E26" s="70">
        <f>$J$23*D26</f>
        <v>2672</v>
      </c>
      <c r="F26" s="70">
        <f>K26-K27</f>
        <v>-2940</v>
      </c>
      <c r="G26" s="70">
        <f>B26-C26-E26+F26</f>
        <v>4388</v>
      </c>
      <c r="H26" s="70">
        <f>$G$19*G26</f>
        <v>1755.2</v>
      </c>
      <c r="I26" s="70"/>
      <c r="J26" s="70"/>
      <c r="K26" s="70">
        <f>[2]step1!L5</f>
        <v>30000</v>
      </c>
      <c r="L26" s="71">
        <f>B26-C26-H26-J26+K26</f>
        <v>38244.800000000003</v>
      </c>
    </row>
    <row r="27" spans="1:12">
      <c r="A27" s="62"/>
      <c r="B27" s="63"/>
      <c r="C27" s="63"/>
      <c r="D27" s="63"/>
      <c r="E27" s="63"/>
      <c r="F27" s="63"/>
      <c r="G27" s="63"/>
      <c r="H27" s="63"/>
      <c r="I27" s="63"/>
      <c r="J27" s="95" t="s">
        <v>34</v>
      </c>
      <c r="K27" s="97">
        <f>J23-E24-E25-E26</f>
        <v>32940</v>
      </c>
      <c r="L27" s="64"/>
    </row>
    <row r="28" spans="1:12">
      <c r="C28" s="74"/>
      <c r="L28" s="75"/>
    </row>
    <row r="29" spans="1:12">
      <c r="C29" s="74"/>
      <c r="G29" s="76"/>
      <c r="H29" s="77"/>
    </row>
    <row r="30" spans="1:12">
      <c r="B30" s="94" t="s">
        <v>125</v>
      </c>
      <c r="C30" s="74"/>
    </row>
    <row r="31" spans="1:12" ht="28.8">
      <c r="A31" s="66" t="s">
        <v>99</v>
      </c>
      <c r="B31" s="67" t="s">
        <v>100</v>
      </c>
      <c r="C31" s="67" t="s">
        <v>101</v>
      </c>
      <c r="D31" s="67" t="s">
        <v>102</v>
      </c>
      <c r="E31" s="67" t="s">
        <v>103</v>
      </c>
      <c r="F31" s="67" t="s">
        <v>104</v>
      </c>
      <c r="G31" s="67" t="s">
        <v>105</v>
      </c>
      <c r="H31" s="67" t="s">
        <v>106</v>
      </c>
      <c r="I31" s="67"/>
      <c r="J31" s="67" t="s">
        <v>107</v>
      </c>
      <c r="K31" s="67" t="s">
        <v>108</v>
      </c>
      <c r="L31" s="68" t="s">
        <v>109</v>
      </c>
    </row>
    <row r="32" spans="1:12">
      <c r="A32" s="69">
        <v>0</v>
      </c>
      <c r="B32" s="70"/>
      <c r="C32" s="70"/>
      <c r="E32" s="70"/>
      <c r="F32" s="70"/>
      <c r="G32" s="70">
        <f>B32-C32-E32+F32</f>
        <v>0</v>
      </c>
      <c r="H32" s="70">
        <f>$G$19*G32</f>
        <v>0</v>
      </c>
      <c r="I32" s="70"/>
      <c r="J32" s="70">
        <f>[2]step1!L16</f>
        <v>80000</v>
      </c>
      <c r="K32" s="70"/>
      <c r="L32" s="71">
        <f>B32-C32-H32-J32+K32</f>
        <v>-80000</v>
      </c>
    </row>
    <row r="33" spans="1:12">
      <c r="A33" s="69">
        <v>1</v>
      </c>
      <c r="B33" s="70">
        <f>[2]step1!$L$13</f>
        <v>60000</v>
      </c>
      <c r="C33" s="70">
        <f>[2]step1!$L$15</f>
        <v>35000</v>
      </c>
      <c r="D33" s="72">
        <f>IF([2]step1!$L$11=7,0.1429,0.0375)</f>
        <v>3.7499999999999999E-2</v>
      </c>
      <c r="E33" s="70">
        <f>$J$32*D33</f>
        <v>3000</v>
      </c>
      <c r="F33" s="70"/>
      <c r="G33" s="70">
        <f>B33-C33-E33+F33</f>
        <v>22000</v>
      </c>
      <c r="H33" s="70">
        <f>$G$19*G33</f>
        <v>8800</v>
      </c>
      <c r="I33" s="70"/>
      <c r="J33" s="70"/>
      <c r="K33" s="70"/>
      <c r="L33" s="71">
        <f>B33-C33-H33-J33+K33</f>
        <v>16200</v>
      </c>
    </row>
    <row r="34" spans="1:12">
      <c r="A34" s="69">
        <v>2</v>
      </c>
      <c r="B34" s="70">
        <f>[2]step1!$L$13</f>
        <v>60000</v>
      </c>
      <c r="C34" s="70">
        <f>[2]step1!$L$15</f>
        <v>35000</v>
      </c>
      <c r="D34" s="72">
        <f>IF([2]step1!$L$11=7,0.2449,0.0722)</f>
        <v>7.22E-2</v>
      </c>
      <c r="E34" s="70">
        <f>$J$32*D34</f>
        <v>5776</v>
      </c>
      <c r="F34" s="70"/>
      <c r="G34" s="70">
        <f>B34-C34-E34+F34</f>
        <v>19224</v>
      </c>
      <c r="H34" s="70">
        <f>$G$19*G34</f>
        <v>7689.6</v>
      </c>
      <c r="I34" s="70"/>
      <c r="J34" s="70"/>
      <c r="K34" s="70"/>
      <c r="L34" s="71">
        <f>B34-C34-H34-J34+K34</f>
        <v>17310.400000000001</v>
      </c>
    </row>
    <row r="35" spans="1:12">
      <c r="A35" s="69">
        <v>3</v>
      </c>
      <c r="B35" s="70">
        <f>[2]step1!$L$13</f>
        <v>60000</v>
      </c>
      <c r="C35" s="70">
        <f>[2]step1!$L$15</f>
        <v>35000</v>
      </c>
      <c r="D35" s="72">
        <f>IF([2]step1!$L$11=7,0.1749,0.0668)</f>
        <v>6.6799999999999998E-2</v>
      </c>
      <c r="E35" s="70">
        <f>$J$32*D35</f>
        <v>5344</v>
      </c>
      <c r="F35" s="70">
        <f>K35-(J32-E33-E34-E35)</f>
        <v>-5880</v>
      </c>
      <c r="G35" s="70">
        <f>B35-C35-E35+F35</f>
        <v>13776</v>
      </c>
      <c r="H35" s="70">
        <f>$G$19*G35</f>
        <v>5510.4000000000005</v>
      </c>
      <c r="I35" s="70"/>
      <c r="J35" s="70"/>
      <c r="K35" s="70">
        <f>[2]step1!L17</f>
        <v>60000</v>
      </c>
      <c r="L35" s="71">
        <f>B35-C35-H35-J35+K35</f>
        <v>79489.600000000006</v>
      </c>
    </row>
    <row r="36" spans="1:12">
      <c r="A36" s="62"/>
      <c r="B36" s="63"/>
      <c r="C36" s="63"/>
      <c r="D36" s="63"/>
      <c r="E36" s="63"/>
      <c r="F36" s="63"/>
      <c r="G36" s="63"/>
      <c r="H36" s="63"/>
      <c r="I36" s="63"/>
      <c r="J36" s="95" t="s">
        <v>34</v>
      </c>
      <c r="K36" s="97">
        <f>J32-E33-E34-E35</f>
        <v>65880</v>
      </c>
      <c r="L36" s="64"/>
    </row>
    <row r="38" spans="1:12">
      <c r="C38" s="74"/>
      <c r="F38" s="91"/>
    </row>
    <row r="39" spans="1:12">
      <c r="B39" s="94" t="s">
        <v>126</v>
      </c>
    </row>
    <row r="40" spans="1:12" ht="28.8">
      <c r="C40" s="98" t="s">
        <v>99</v>
      </c>
      <c r="D40" s="67" t="s">
        <v>127</v>
      </c>
      <c r="E40" s="67" t="s">
        <v>123</v>
      </c>
      <c r="F40" s="68" t="s">
        <v>128</v>
      </c>
    </row>
    <row r="41" spans="1:12">
      <c r="C41" s="59">
        <v>0</v>
      </c>
      <c r="D41" s="70">
        <f>L32</f>
        <v>-80000</v>
      </c>
      <c r="E41" s="70">
        <f>L23</f>
        <v>-40000</v>
      </c>
      <c r="F41" s="99">
        <f>D41-E41</f>
        <v>-40000</v>
      </c>
    </row>
    <row r="42" spans="1:12">
      <c r="C42" s="59">
        <v>1</v>
      </c>
      <c r="D42" s="70">
        <f>L33</f>
        <v>16200</v>
      </c>
      <c r="E42" s="70">
        <f>L24</f>
        <v>6600</v>
      </c>
      <c r="F42" s="99">
        <f>D42-E42</f>
        <v>9600</v>
      </c>
    </row>
    <row r="43" spans="1:12">
      <c r="C43" s="59">
        <v>2</v>
      </c>
      <c r="D43" s="70">
        <f>L34</f>
        <v>17310.400000000001</v>
      </c>
      <c r="E43" s="70">
        <f>L25</f>
        <v>7155.2</v>
      </c>
      <c r="F43" s="99">
        <f>D43-E43</f>
        <v>10155.200000000001</v>
      </c>
    </row>
    <row r="44" spans="1:12">
      <c r="C44" s="59">
        <v>3</v>
      </c>
      <c r="D44" s="70">
        <f>L35</f>
        <v>79489.600000000006</v>
      </c>
      <c r="E44" s="70">
        <f>L26</f>
        <v>38244.800000000003</v>
      </c>
      <c r="F44" s="99">
        <f>D44-E44</f>
        <v>41244.800000000003</v>
      </c>
    </row>
    <row r="45" spans="1:12">
      <c r="C45" s="59"/>
      <c r="F45" s="61"/>
    </row>
    <row r="46" spans="1:12">
      <c r="C46" s="100" t="s">
        <v>129</v>
      </c>
      <c r="D46" s="101" t="s">
        <v>130</v>
      </c>
      <c r="E46" s="101"/>
      <c r="F46" s="61"/>
    </row>
    <row r="47" spans="1:12">
      <c r="C47" s="59"/>
      <c r="F47" s="61"/>
    </row>
    <row r="48" spans="1:12">
      <c r="C48" s="59"/>
      <c r="D48" t="s">
        <v>131</v>
      </c>
      <c r="F48" s="102">
        <f>IRR(F41:F44)</f>
        <v>0.18646550429061493</v>
      </c>
      <c r="G48" s="103" t="s">
        <v>132</v>
      </c>
    </row>
    <row r="49" spans="2:10">
      <c r="C49" s="62"/>
      <c r="D49" s="63"/>
      <c r="E49" s="63"/>
      <c r="F49" s="64"/>
    </row>
    <row r="50" spans="2:10">
      <c r="E50" s="104"/>
      <c r="F50" s="105"/>
    </row>
    <row r="52" spans="2:10" ht="17.399999999999999">
      <c r="B52" s="25" t="s">
        <v>117</v>
      </c>
    </row>
    <row r="58" spans="2:10">
      <c r="F58" s="106"/>
      <c r="J58" s="6"/>
    </row>
    <row r="59" spans="2:10">
      <c r="F59" s="9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1F06A-2B7A-47DA-958F-35741BC5690E}">
  <dimension ref="A1:J48"/>
  <sheetViews>
    <sheetView workbookViewId="0">
      <selection sqref="A1:XFD1048576"/>
    </sheetView>
  </sheetViews>
  <sheetFormatPr defaultRowHeight="14.4"/>
  <cols>
    <col min="2" max="2" width="9.6640625" customWidth="1"/>
    <col min="3" max="4" width="11.6640625" customWidth="1"/>
    <col min="7" max="7" width="4.6640625" customWidth="1"/>
    <col min="8" max="8" width="12.6640625" customWidth="1"/>
    <col min="9" max="9" width="9.6640625" customWidth="1"/>
    <col min="258" max="258" width="9.6640625" customWidth="1"/>
    <col min="259" max="260" width="11.6640625" customWidth="1"/>
    <col min="263" max="263" width="4.6640625" customWidth="1"/>
    <col min="264" max="264" width="12.6640625" customWidth="1"/>
    <col min="265" max="265" width="9.6640625" customWidth="1"/>
    <col min="514" max="514" width="9.6640625" customWidth="1"/>
    <col min="515" max="516" width="11.6640625" customWidth="1"/>
    <col min="519" max="519" width="4.6640625" customWidth="1"/>
    <col min="520" max="520" width="12.6640625" customWidth="1"/>
    <col min="521" max="521" width="9.6640625" customWidth="1"/>
    <col min="770" max="770" width="9.6640625" customWidth="1"/>
    <col min="771" max="772" width="11.6640625" customWidth="1"/>
    <col min="775" max="775" width="4.6640625" customWidth="1"/>
    <col min="776" max="776" width="12.6640625" customWidth="1"/>
    <col min="777" max="777" width="9.6640625" customWidth="1"/>
    <col min="1026" max="1026" width="9.6640625" customWidth="1"/>
    <col min="1027" max="1028" width="11.6640625" customWidth="1"/>
    <col min="1031" max="1031" width="4.6640625" customWidth="1"/>
    <col min="1032" max="1032" width="12.6640625" customWidth="1"/>
    <col min="1033" max="1033" width="9.6640625" customWidth="1"/>
    <col min="1282" max="1282" width="9.6640625" customWidth="1"/>
    <col min="1283" max="1284" width="11.6640625" customWidth="1"/>
    <col min="1287" max="1287" width="4.6640625" customWidth="1"/>
    <col min="1288" max="1288" width="12.6640625" customWidth="1"/>
    <col min="1289" max="1289" width="9.6640625" customWidth="1"/>
    <col min="1538" max="1538" width="9.6640625" customWidth="1"/>
    <col min="1539" max="1540" width="11.6640625" customWidth="1"/>
    <col min="1543" max="1543" width="4.6640625" customWidth="1"/>
    <col min="1544" max="1544" width="12.6640625" customWidth="1"/>
    <col min="1545" max="1545" width="9.6640625" customWidth="1"/>
    <col min="1794" max="1794" width="9.6640625" customWidth="1"/>
    <col min="1795" max="1796" width="11.6640625" customWidth="1"/>
    <col min="1799" max="1799" width="4.6640625" customWidth="1"/>
    <col min="1800" max="1800" width="12.6640625" customWidth="1"/>
    <col min="1801" max="1801" width="9.6640625" customWidth="1"/>
    <col min="2050" max="2050" width="9.6640625" customWidth="1"/>
    <col min="2051" max="2052" width="11.6640625" customWidth="1"/>
    <col min="2055" max="2055" width="4.6640625" customWidth="1"/>
    <col min="2056" max="2056" width="12.6640625" customWidth="1"/>
    <col min="2057" max="2057" width="9.6640625" customWidth="1"/>
    <col min="2306" max="2306" width="9.6640625" customWidth="1"/>
    <col min="2307" max="2308" width="11.6640625" customWidth="1"/>
    <col min="2311" max="2311" width="4.6640625" customWidth="1"/>
    <col min="2312" max="2312" width="12.6640625" customWidth="1"/>
    <col min="2313" max="2313" width="9.6640625" customWidth="1"/>
    <col min="2562" max="2562" width="9.6640625" customWidth="1"/>
    <col min="2563" max="2564" width="11.6640625" customWidth="1"/>
    <col min="2567" max="2567" width="4.6640625" customWidth="1"/>
    <col min="2568" max="2568" width="12.6640625" customWidth="1"/>
    <col min="2569" max="2569" width="9.6640625" customWidth="1"/>
    <col min="2818" max="2818" width="9.6640625" customWidth="1"/>
    <col min="2819" max="2820" width="11.6640625" customWidth="1"/>
    <col min="2823" max="2823" width="4.6640625" customWidth="1"/>
    <col min="2824" max="2824" width="12.6640625" customWidth="1"/>
    <col min="2825" max="2825" width="9.6640625" customWidth="1"/>
    <col min="3074" max="3074" width="9.6640625" customWidth="1"/>
    <col min="3075" max="3076" width="11.6640625" customWidth="1"/>
    <col min="3079" max="3079" width="4.6640625" customWidth="1"/>
    <col min="3080" max="3080" width="12.6640625" customWidth="1"/>
    <col min="3081" max="3081" width="9.6640625" customWidth="1"/>
    <col min="3330" max="3330" width="9.6640625" customWidth="1"/>
    <col min="3331" max="3332" width="11.6640625" customWidth="1"/>
    <col min="3335" max="3335" width="4.6640625" customWidth="1"/>
    <col min="3336" max="3336" width="12.6640625" customWidth="1"/>
    <col min="3337" max="3337" width="9.6640625" customWidth="1"/>
    <col min="3586" max="3586" width="9.6640625" customWidth="1"/>
    <col min="3587" max="3588" width="11.6640625" customWidth="1"/>
    <col min="3591" max="3591" width="4.6640625" customWidth="1"/>
    <col min="3592" max="3592" width="12.6640625" customWidth="1"/>
    <col min="3593" max="3593" width="9.6640625" customWidth="1"/>
    <col min="3842" max="3842" width="9.6640625" customWidth="1"/>
    <col min="3843" max="3844" width="11.6640625" customWidth="1"/>
    <col min="3847" max="3847" width="4.6640625" customWidth="1"/>
    <col min="3848" max="3848" width="12.6640625" customWidth="1"/>
    <col min="3849" max="3849" width="9.6640625" customWidth="1"/>
    <col min="4098" max="4098" width="9.6640625" customWidth="1"/>
    <col min="4099" max="4100" width="11.6640625" customWidth="1"/>
    <col min="4103" max="4103" width="4.6640625" customWidth="1"/>
    <col min="4104" max="4104" width="12.6640625" customWidth="1"/>
    <col min="4105" max="4105" width="9.6640625" customWidth="1"/>
    <col min="4354" max="4354" width="9.6640625" customWidth="1"/>
    <col min="4355" max="4356" width="11.6640625" customWidth="1"/>
    <col min="4359" max="4359" width="4.6640625" customWidth="1"/>
    <col min="4360" max="4360" width="12.6640625" customWidth="1"/>
    <col min="4361" max="4361" width="9.6640625" customWidth="1"/>
    <col min="4610" max="4610" width="9.6640625" customWidth="1"/>
    <col min="4611" max="4612" width="11.6640625" customWidth="1"/>
    <col min="4615" max="4615" width="4.6640625" customWidth="1"/>
    <col min="4616" max="4616" width="12.6640625" customWidth="1"/>
    <col min="4617" max="4617" width="9.6640625" customWidth="1"/>
    <col min="4866" max="4866" width="9.6640625" customWidth="1"/>
    <col min="4867" max="4868" width="11.6640625" customWidth="1"/>
    <col min="4871" max="4871" width="4.6640625" customWidth="1"/>
    <col min="4872" max="4872" width="12.6640625" customWidth="1"/>
    <col min="4873" max="4873" width="9.6640625" customWidth="1"/>
    <col min="5122" max="5122" width="9.6640625" customWidth="1"/>
    <col min="5123" max="5124" width="11.6640625" customWidth="1"/>
    <col min="5127" max="5127" width="4.6640625" customWidth="1"/>
    <col min="5128" max="5128" width="12.6640625" customWidth="1"/>
    <col min="5129" max="5129" width="9.6640625" customWidth="1"/>
    <col min="5378" max="5378" width="9.6640625" customWidth="1"/>
    <col min="5379" max="5380" width="11.6640625" customWidth="1"/>
    <col min="5383" max="5383" width="4.6640625" customWidth="1"/>
    <col min="5384" max="5384" width="12.6640625" customWidth="1"/>
    <col min="5385" max="5385" width="9.6640625" customWidth="1"/>
    <col min="5634" max="5634" width="9.6640625" customWidth="1"/>
    <col min="5635" max="5636" width="11.6640625" customWidth="1"/>
    <col min="5639" max="5639" width="4.6640625" customWidth="1"/>
    <col min="5640" max="5640" width="12.6640625" customWidth="1"/>
    <col min="5641" max="5641" width="9.6640625" customWidth="1"/>
    <col min="5890" max="5890" width="9.6640625" customWidth="1"/>
    <col min="5891" max="5892" width="11.6640625" customWidth="1"/>
    <col min="5895" max="5895" width="4.6640625" customWidth="1"/>
    <col min="5896" max="5896" width="12.6640625" customWidth="1"/>
    <col min="5897" max="5897" width="9.6640625" customWidth="1"/>
    <col min="6146" max="6146" width="9.6640625" customWidth="1"/>
    <col min="6147" max="6148" width="11.6640625" customWidth="1"/>
    <col min="6151" max="6151" width="4.6640625" customWidth="1"/>
    <col min="6152" max="6152" width="12.6640625" customWidth="1"/>
    <col min="6153" max="6153" width="9.6640625" customWidth="1"/>
    <col min="6402" max="6402" width="9.6640625" customWidth="1"/>
    <col min="6403" max="6404" width="11.6640625" customWidth="1"/>
    <col min="6407" max="6407" width="4.6640625" customWidth="1"/>
    <col min="6408" max="6408" width="12.6640625" customWidth="1"/>
    <col min="6409" max="6409" width="9.6640625" customWidth="1"/>
    <col min="6658" max="6658" width="9.6640625" customWidth="1"/>
    <col min="6659" max="6660" width="11.6640625" customWidth="1"/>
    <col min="6663" max="6663" width="4.6640625" customWidth="1"/>
    <col min="6664" max="6664" width="12.6640625" customWidth="1"/>
    <col min="6665" max="6665" width="9.6640625" customWidth="1"/>
    <col min="6914" max="6914" width="9.6640625" customWidth="1"/>
    <col min="6915" max="6916" width="11.6640625" customWidth="1"/>
    <col min="6919" max="6919" width="4.6640625" customWidth="1"/>
    <col min="6920" max="6920" width="12.6640625" customWidth="1"/>
    <col min="6921" max="6921" width="9.6640625" customWidth="1"/>
    <col min="7170" max="7170" width="9.6640625" customWidth="1"/>
    <col min="7171" max="7172" width="11.6640625" customWidth="1"/>
    <col min="7175" max="7175" width="4.6640625" customWidth="1"/>
    <col min="7176" max="7176" width="12.6640625" customWidth="1"/>
    <col min="7177" max="7177" width="9.6640625" customWidth="1"/>
    <col min="7426" max="7426" width="9.6640625" customWidth="1"/>
    <col min="7427" max="7428" width="11.6640625" customWidth="1"/>
    <col min="7431" max="7431" width="4.6640625" customWidth="1"/>
    <col min="7432" max="7432" width="12.6640625" customWidth="1"/>
    <col min="7433" max="7433" width="9.6640625" customWidth="1"/>
    <col min="7682" max="7682" width="9.6640625" customWidth="1"/>
    <col min="7683" max="7684" width="11.6640625" customWidth="1"/>
    <col min="7687" max="7687" width="4.6640625" customWidth="1"/>
    <col min="7688" max="7688" width="12.6640625" customWidth="1"/>
    <col min="7689" max="7689" width="9.6640625" customWidth="1"/>
    <col min="7938" max="7938" width="9.6640625" customWidth="1"/>
    <col min="7939" max="7940" width="11.6640625" customWidth="1"/>
    <col min="7943" max="7943" width="4.6640625" customWidth="1"/>
    <col min="7944" max="7944" width="12.6640625" customWidth="1"/>
    <col min="7945" max="7945" width="9.6640625" customWidth="1"/>
    <col min="8194" max="8194" width="9.6640625" customWidth="1"/>
    <col min="8195" max="8196" width="11.6640625" customWidth="1"/>
    <col min="8199" max="8199" width="4.6640625" customWidth="1"/>
    <col min="8200" max="8200" width="12.6640625" customWidth="1"/>
    <col min="8201" max="8201" width="9.6640625" customWidth="1"/>
    <col min="8450" max="8450" width="9.6640625" customWidth="1"/>
    <col min="8451" max="8452" width="11.6640625" customWidth="1"/>
    <col min="8455" max="8455" width="4.6640625" customWidth="1"/>
    <col min="8456" max="8456" width="12.6640625" customWidth="1"/>
    <col min="8457" max="8457" width="9.6640625" customWidth="1"/>
    <col min="8706" max="8706" width="9.6640625" customWidth="1"/>
    <col min="8707" max="8708" width="11.6640625" customWidth="1"/>
    <col min="8711" max="8711" width="4.6640625" customWidth="1"/>
    <col min="8712" max="8712" width="12.6640625" customWidth="1"/>
    <col min="8713" max="8713" width="9.6640625" customWidth="1"/>
    <col min="8962" max="8962" width="9.6640625" customWidth="1"/>
    <col min="8963" max="8964" width="11.6640625" customWidth="1"/>
    <col min="8967" max="8967" width="4.6640625" customWidth="1"/>
    <col min="8968" max="8968" width="12.6640625" customWidth="1"/>
    <col min="8969" max="8969" width="9.6640625" customWidth="1"/>
    <col min="9218" max="9218" width="9.6640625" customWidth="1"/>
    <col min="9219" max="9220" width="11.6640625" customWidth="1"/>
    <col min="9223" max="9223" width="4.6640625" customWidth="1"/>
    <col min="9224" max="9224" width="12.6640625" customWidth="1"/>
    <col min="9225" max="9225" width="9.6640625" customWidth="1"/>
    <col min="9474" max="9474" width="9.6640625" customWidth="1"/>
    <col min="9475" max="9476" width="11.6640625" customWidth="1"/>
    <col min="9479" max="9479" width="4.6640625" customWidth="1"/>
    <col min="9480" max="9480" width="12.6640625" customWidth="1"/>
    <col min="9481" max="9481" width="9.6640625" customWidth="1"/>
    <col min="9730" max="9730" width="9.6640625" customWidth="1"/>
    <col min="9731" max="9732" width="11.6640625" customWidth="1"/>
    <col min="9735" max="9735" width="4.6640625" customWidth="1"/>
    <col min="9736" max="9736" width="12.6640625" customWidth="1"/>
    <col min="9737" max="9737" width="9.6640625" customWidth="1"/>
    <col min="9986" max="9986" width="9.6640625" customWidth="1"/>
    <col min="9987" max="9988" width="11.6640625" customWidth="1"/>
    <col min="9991" max="9991" width="4.6640625" customWidth="1"/>
    <col min="9992" max="9992" width="12.6640625" customWidth="1"/>
    <col min="9993" max="9993" width="9.6640625" customWidth="1"/>
    <col min="10242" max="10242" width="9.6640625" customWidth="1"/>
    <col min="10243" max="10244" width="11.6640625" customWidth="1"/>
    <col min="10247" max="10247" width="4.6640625" customWidth="1"/>
    <col min="10248" max="10248" width="12.6640625" customWidth="1"/>
    <col min="10249" max="10249" width="9.6640625" customWidth="1"/>
    <col min="10498" max="10498" width="9.6640625" customWidth="1"/>
    <col min="10499" max="10500" width="11.6640625" customWidth="1"/>
    <col min="10503" max="10503" width="4.6640625" customWidth="1"/>
    <col min="10504" max="10504" width="12.6640625" customWidth="1"/>
    <col min="10505" max="10505" width="9.6640625" customWidth="1"/>
    <col min="10754" max="10754" width="9.6640625" customWidth="1"/>
    <col min="10755" max="10756" width="11.6640625" customWidth="1"/>
    <col min="10759" max="10759" width="4.6640625" customWidth="1"/>
    <col min="10760" max="10760" width="12.6640625" customWidth="1"/>
    <col min="10761" max="10761" width="9.6640625" customWidth="1"/>
    <col min="11010" max="11010" width="9.6640625" customWidth="1"/>
    <col min="11011" max="11012" width="11.6640625" customWidth="1"/>
    <col min="11015" max="11015" width="4.6640625" customWidth="1"/>
    <col min="11016" max="11016" width="12.6640625" customWidth="1"/>
    <col min="11017" max="11017" width="9.6640625" customWidth="1"/>
    <col min="11266" max="11266" width="9.6640625" customWidth="1"/>
    <col min="11267" max="11268" width="11.6640625" customWidth="1"/>
    <col min="11271" max="11271" width="4.6640625" customWidth="1"/>
    <col min="11272" max="11272" width="12.6640625" customWidth="1"/>
    <col min="11273" max="11273" width="9.6640625" customWidth="1"/>
    <col min="11522" max="11522" width="9.6640625" customWidth="1"/>
    <col min="11523" max="11524" width="11.6640625" customWidth="1"/>
    <col min="11527" max="11527" width="4.6640625" customWidth="1"/>
    <col min="11528" max="11528" width="12.6640625" customWidth="1"/>
    <col min="11529" max="11529" width="9.6640625" customWidth="1"/>
    <col min="11778" max="11778" width="9.6640625" customWidth="1"/>
    <col min="11779" max="11780" width="11.6640625" customWidth="1"/>
    <col min="11783" max="11783" width="4.6640625" customWidth="1"/>
    <col min="11784" max="11784" width="12.6640625" customWidth="1"/>
    <col min="11785" max="11785" width="9.6640625" customWidth="1"/>
    <col min="12034" max="12034" width="9.6640625" customWidth="1"/>
    <col min="12035" max="12036" width="11.6640625" customWidth="1"/>
    <col min="12039" max="12039" width="4.6640625" customWidth="1"/>
    <col min="12040" max="12040" width="12.6640625" customWidth="1"/>
    <col min="12041" max="12041" width="9.6640625" customWidth="1"/>
    <col min="12290" max="12290" width="9.6640625" customWidth="1"/>
    <col min="12291" max="12292" width="11.6640625" customWidth="1"/>
    <col min="12295" max="12295" width="4.6640625" customWidth="1"/>
    <col min="12296" max="12296" width="12.6640625" customWidth="1"/>
    <col min="12297" max="12297" width="9.6640625" customWidth="1"/>
    <col min="12546" max="12546" width="9.6640625" customWidth="1"/>
    <col min="12547" max="12548" width="11.6640625" customWidth="1"/>
    <col min="12551" max="12551" width="4.6640625" customWidth="1"/>
    <col min="12552" max="12552" width="12.6640625" customWidth="1"/>
    <col min="12553" max="12553" width="9.6640625" customWidth="1"/>
    <col min="12802" max="12802" width="9.6640625" customWidth="1"/>
    <col min="12803" max="12804" width="11.6640625" customWidth="1"/>
    <col min="12807" max="12807" width="4.6640625" customWidth="1"/>
    <col min="12808" max="12808" width="12.6640625" customWidth="1"/>
    <col min="12809" max="12809" width="9.6640625" customWidth="1"/>
    <col min="13058" max="13058" width="9.6640625" customWidth="1"/>
    <col min="13059" max="13060" width="11.6640625" customWidth="1"/>
    <col min="13063" max="13063" width="4.6640625" customWidth="1"/>
    <col min="13064" max="13064" width="12.6640625" customWidth="1"/>
    <col min="13065" max="13065" width="9.6640625" customWidth="1"/>
    <col min="13314" max="13314" width="9.6640625" customWidth="1"/>
    <col min="13315" max="13316" width="11.6640625" customWidth="1"/>
    <col min="13319" max="13319" width="4.6640625" customWidth="1"/>
    <col min="13320" max="13320" width="12.6640625" customWidth="1"/>
    <col min="13321" max="13321" width="9.6640625" customWidth="1"/>
    <col min="13570" max="13570" width="9.6640625" customWidth="1"/>
    <col min="13571" max="13572" width="11.6640625" customWidth="1"/>
    <col min="13575" max="13575" width="4.6640625" customWidth="1"/>
    <col min="13576" max="13576" width="12.6640625" customWidth="1"/>
    <col min="13577" max="13577" width="9.6640625" customWidth="1"/>
    <col min="13826" max="13826" width="9.6640625" customWidth="1"/>
    <col min="13827" max="13828" width="11.6640625" customWidth="1"/>
    <col min="13831" max="13831" width="4.6640625" customWidth="1"/>
    <col min="13832" max="13832" width="12.6640625" customWidth="1"/>
    <col min="13833" max="13833" width="9.6640625" customWidth="1"/>
    <col min="14082" max="14082" width="9.6640625" customWidth="1"/>
    <col min="14083" max="14084" width="11.6640625" customWidth="1"/>
    <col min="14087" max="14087" width="4.6640625" customWidth="1"/>
    <col min="14088" max="14088" width="12.6640625" customWidth="1"/>
    <col min="14089" max="14089" width="9.6640625" customWidth="1"/>
    <col min="14338" max="14338" width="9.6640625" customWidth="1"/>
    <col min="14339" max="14340" width="11.6640625" customWidth="1"/>
    <col min="14343" max="14343" width="4.6640625" customWidth="1"/>
    <col min="14344" max="14344" width="12.6640625" customWidth="1"/>
    <col min="14345" max="14345" width="9.6640625" customWidth="1"/>
    <col min="14594" max="14594" width="9.6640625" customWidth="1"/>
    <col min="14595" max="14596" width="11.6640625" customWidth="1"/>
    <col min="14599" max="14599" width="4.6640625" customWidth="1"/>
    <col min="14600" max="14600" width="12.6640625" customWidth="1"/>
    <col min="14601" max="14601" width="9.6640625" customWidth="1"/>
    <col min="14850" max="14850" width="9.6640625" customWidth="1"/>
    <col min="14851" max="14852" width="11.6640625" customWidth="1"/>
    <col min="14855" max="14855" width="4.6640625" customWidth="1"/>
    <col min="14856" max="14856" width="12.6640625" customWidth="1"/>
    <col min="14857" max="14857" width="9.6640625" customWidth="1"/>
    <col min="15106" max="15106" width="9.6640625" customWidth="1"/>
    <col min="15107" max="15108" width="11.6640625" customWidth="1"/>
    <col min="15111" max="15111" width="4.6640625" customWidth="1"/>
    <col min="15112" max="15112" width="12.6640625" customWidth="1"/>
    <col min="15113" max="15113" width="9.6640625" customWidth="1"/>
    <col min="15362" max="15362" width="9.6640625" customWidth="1"/>
    <col min="15363" max="15364" width="11.6640625" customWidth="1"/>
    <col min="15367" max="15367" width="4.6640625" customWidth="1"/>
    <col min="15368" max="15368" width="12.6640625" customWidth="1"/>
    <col min="15369" max="15369" width="9.6640625" customWidth="1"/>
    <col min="15618" max="15618" width="9.6640625" customWidth="1"/>
    <col min="15619" max="15620" width="11.6640625" customWidth="1"/>
    <col min="15623" max="15623" width="4.6640625" customWidth="1"/>
    <col min="15624" max="15624" width="12.6640625" customWidth="1"/>
    <col min="15625" max="15625" width="9.6640625" customWidth="1"/>
    <col min="15874" max="15874" width="9.6640625" customWidth="1"/>
    <col min="15875" max="15876" width="11.6640625" customWidth="1"/>
    <col min="15879" max="15879" width="4.6640625" customWidth="1"/>
    <col min="15880" max="15880" width="12.6640625" customWidth="1"/>
    <col min="15881" max="15881" width="9.6640625" customWidth="1"/>
    <col min="16130" max="16130" width="9.6640625" customWidth="1"/>
    <col min="16131" max="16132" width="11.6640625" customWidth="1"/>
    <col min="16135" max="16135" width="4.6640625" customWidth="1"/>
    <col min="16136" max="16136" width="12.6640625" customWidth="1"/>
    <col min="16137" max="16137" width="9.6640625" customWidth="1"/>
  </cols>
  <sheetData>
    <row r="1" spans="1:9" ht="17.399999999999999">
      <c r="D1" s="43" t="str">
        <f>[3]step1!D1</f>
        <v>Annual worth analysis</v>
      </c>
    </row>
    <row r="2" spans="1:9" ht="17.399999999999999">
      <c r="D2" s="43" t="str">
        <f>[3]step1!D2</f>
        <v>Fixture selection problems</v>
      </c>
    </row>
    <row r="4" spans="1:9">
      <c r="B4" s="44" t="str">
        <f>[3]step1!B4</f>
        <v>Gadgets-R-Us needs to design a fixture for the assembly of 1000 nose hair removers</v>
      </c>
      <c r="C4" s="45"/>
      <c r="D4" s="45"/>
      <c r="E4" s="45"/>
      <c r="F4" s="45"/>
      <c r="G4" s="45"/>
      <c r="H4" s="45"/>
      <c r="I4" s="46"/>
    </row>
    <row r="5" spans="1:9">
      <c r="B5" s="47" t="str">
        <f>[3]step1!B5</f>
        <v>per year.  The simple Holding fixture costs $2000, lasts 7 years, and has no salvage value.</v>
      </c>
      <c r="C5" s="48"/>
      <c r="D5" s="48"/>
      <c r="E5" s="48"/>
      <c r="F5" s="48"/>
      <c r="G5" s="48"/>
      <c r="H5" s="49"/>
      <c r="I5" s="50"/>
    </row>
    <row r="6" spans="1:9">
      <c r="B6" s="47" t="str">
        <f>[3]step1!B6</f>
        <v>The Rotating fixture costs $4000 to make, lasts 4 years, and has parts that can be</v>
      </c>
      <c r="C6" s="48"/>
      <c r="D6" s="48"/>
      <c r="E6" s="48"/>
      <c r="F6" s="48"/>
      <c r="G6" s="48"/>
      <c r="H6" s="48"/>
      <c r="I6" s="50"/>
    </row>
    <row r="7" spans="1:9">
      <c r="B7" s="47" t="str">
        <f>[3]step1!B7</f>
        <v>salvaged for $2000.  Assembly costs per unit are $6 for the Holding fixture and $2</v>
      </c>
      <c r="C7" s="48"/>
      <c r="D7" s="48"/>
      <c r="E7" s="48"/>
      <c r="F7" s="48"/>
      <c r="G7" s="48"/>
      <c r="H7" s="48"/>
      <c r="I7" s="50"/>
    </row>
    <row r="8" spans="1:9">
      <c r="B8" s="47" t="str">
        <f>[3]step1!B8</f>
        <v>per unit for the Rotating fixture.  Assume an interest rate of 18% per year.  Use annual worth</v>
      </c>
      <c r="C8" s="48"/>
      <c r="D8" s="48"/>
      <c r="E8" s="48"/>
      <c r="F8" s="48"/>
      <c r="G8" s="48"/>
      <c r="H8" s="48"/>
      <c r="I8" s="50"/>
    </row>
    <row r="9" spans="1:9">
      <c r="B9" s="51" t="str">
        <f>[3]step1!B9</f>
        <v>analysis to select an NHR fixture assuming a planning horizon of 4 years.</v>
      </c>
      <c r="C9" s="52"/>
      <c r="D9" s="52"/>
      <c r="E9" s="52"/>
      <c r="F9" s="53"/>
      <c r="G9" s="52"/>
      <c r="H9" s="52"/>
      <c r="I9" s="54"/>
    </row>
    <row r="12" spans="1:9" ht="15.6">
      <c r="A12" s="55" t="s">
        <v>97</v>
      </c>
      <c r="B12" s="56"/>
      <c r="C12" s="57"/>
      <c r="D12" s="57"/>
      <c r="E12" s="57"/>
      <c r="F12" s="57"/>
      <c r="G12" s="57"/>
      <c r="H12" s="57"/>
      <c r="I12" s="58"/>
    </row>
    <row r="13" spans="1:9" ht="15.6">
      <c r="A13" s="59"/>
      <c r="B13" s="60" t="s">
        <v>98</v>
      </c>
      <c r="I13" s="61"/>
    </row>
    <row r="14" spans="1:9">
      <c r="A14" s="62"/>
      <c r="B14" s="63"/>
      <c r="C14" s="63"/>
      <c r="D14" s="63"/>
      <c r="E14" s="63"/>
      <c r="F14" s="63"/>
      <c r="G14" s="63"/>
      <c r="H14" s="63"/>
      <c r="I14" s="64"/>
    </row>
    <row r="16" spans="1:9">
      <c r="G16" s="65"/>
    </row>
    <row r="18" spans="2:10">
      <c r="B18" s="94" t="s">
        <v>133</v>
      </c>
      <c r="C18" s="107"/>
      <c r="F18" s="108"/>
      <c r="G18" s="109"/>
      <c r="H18" s="110"/>
    </row>
    <row r="19" spans="2:10">
      <c r="C19" s="107"/>
      <c r="D19" s="111"/>
      <c r="E19" s="107"/>
      <c r="F19" s="93"/>
      <c r="G19" s="93"/>
      <c r="H19" s="70"/>
    </row>
    <row r="20" spans="2:10">
      <c r="B20" s="78" t="s">
        <v>99</v>
      </c>
      <c r="C20" s="112" t="s">
        <v>134</v>
      </c>
      <c r="D20" s="113" t="s">
        <v>135</v>
      </c>
      <c r="E20" s="57" t="s">
        <v>108</v>
      </c>
      <c r="F20" s="114" t="s">
        <v>136</v>
      </c>
      <c r="G20" s="70"/>
      <c r="H20" s="115" t="s">
        <v>137</v>
      </c>
      <c r="I20" s="116">
        <f>[3]step1!L10</f>
        <v>0.18</v>
      </c>
    </row>
    <row r="21" spans="2:10">
      <c r="B21" s="69">
        <v>0</v>
      </c>
      <c r="C21" s="84">
        <f>-[3]step1!L1</f>
        <v>-2000</v>
      </c>
      <c r="D21" s="107">
        <v>0</v>
      </c>
      <c r="E21" s="84">
        <v>0</v>
      </c>
      <c r="F21" s="117">
        <f>C21+D21+E21</f>
        <v>-2000</v>
      </c>
      <c r="G21" s="94"/>
      <c r="H21" s="59" t="s">
        <v>138</v>
      </c>
      <c r="I21" s="118">
        <f>F21+NPV(I20,F22:F29)</f>
        <v>-18140.370828268635</v>
      </c>
      <c r="J21" s="119" t="s">
        <v>139</v>
      </c>
    </row>
    <row r="22" spans="2:10">
      <c r="B22" s="69">
        <v>1</v>
      </c>
      <c r="C22" s="107">
        <v>0</v>
      </c>
      <c r="D22" s="107">
        <v>-6000</v>
      </c>
      <c r="E22" s="84">
        <v>0</v>
      </c>
      <c r="F22" s="117">
        <f t="shared" ref="F22:F29" si="0">C22+D22+E22</f>
        <v>-6000</v>
      </c>
      <c r="G22" s="93"/>
      <c r="H22" s="120" t="s">
        <v>140</v>
      </c>
      <c r="I22" s="121">
        <f>IF([3]step1!L8=0,[3]step1!L2,[3]step1!L8)</f>
        <v>4</v>
      </c>
    </row>
    <row r="23" spans="2:10">
      <c r="B23" s="69">
        <v>2</v>
      </c>
      <c r="C23" s="107">
        <v>0</v>
      </c>
      <c r="D23" s="107">
        <v>-6000</v>
      </c>
      <c r="E23" s="84">
        <v>0</v>
      </c>
      <c r="F23" s="117">
        <f t="shared" si="0"/>
        <v>-6000</v>
      </c>
      <c r="H23" s="120"/>
      <c r="I23" s="117"/>
    </row>
    <row r="24" spans="2:10">
      <c r="B24" s="69">
        <v>3</v>
      </c>
      <c r="C24" s="107">
        <v>0</v>
      </c>
      <c r="D24" s="107">
        <v>-6000</v>
      </c>
      <c r="E24" s="84">
        <v>0</v>
      </c>
      <c r="F24" s="117">
        <f t="shared" si="0"/>
        <v>-6000</v>
      </c>
      <c r="G24" s="93"/>
      <c r="H24" s="120" t="s">
        <v>141</v>
      </c>
      <c r="I24" s="117">
        <f>PMT(I20,I22,-I21)</f>
        <v>-6743.4773418577806</v>
      </c>
      <c r="J24" t="s">
        <v>142</v>
      </c>
    </row>
    <row r="25" spans="2:10">
      <c r="B25" s="69">
        <v>4</v>
      </c>
      <c r="C25" s="107">
        <v>0</v>
      </c>
      <c r="D25" s="107">
        <v>-6000</v>
      </c>
      <c r="E25" s="84">
        <v>0</v>
      </c>
      <c r="F25" s="117">
        <f t="shared" si="0"/>
        <v>-6000</v>
      </c>
      <c r="G25" s="93"/>
      <c r="H25" s="120"/>
      <c r="I25" s="117"/>
    </row>
    <row r="26" spans="2:10">
      <c r="B26" s="69">
        <v>5</v>
      </c>
      <c r="C26" s="107">
        <v>0</v>
      </c>
      <c r="D26" s="107">
        <v>0</v>
      </c>
      <c r="E26" s="84">
        <v>0</v>
      </c>
      <c r="F26" s="117">
        <f t="shared" si="0"/>
        <v>0</v>
      </c>
      <c r="H26" s="122" t="s">
        <v>129</v>
      </c>
      <c r="I26" s="123"/>
    </row>
    <row r="27" spans="2:10">
      <c r="B27" s="69">
        <v>6</v>
      </c>
      <c r="C27" s="107">
        <v>0</v>
      </c>
      <c r="D27" s="107">
        <v>0</v>
      </c>
      <c r="E27" s="84">
        <v>0</v>
      </c>
      <c r="F27" s="117">
        <f t="shared" si="0"/>
        <v>0</v>
      </c>
      <c r="H27" s="107"/>
      <c r="I27" s="107"/>
    </row>
    <row r="28" spans="2:10">
      <c r="B28" s="69">
        <v>7</v>
      </c>
      <c r="C28" s="107">
        <v>0</v>
      </c>
      <c r="D28" s="107">
        <v>0</v>
      </c>
      <c r="E28" s="84">
        <v>0</v>
      </c>
      <c r="F28" s="117">
        <f t="shared" si="0"/>
        <v>0</v>
      </c>
      <c r="H28" s="107"/>
      <c r="I28" s="107"/>
    </row>
    <row r="29" spans="2:10">
      <c r="B29" s="69">
        <v>8</v>
      </c>
      <c r="C29" s="107">
        <v>0</v>
      </c>
      <c r="D29" s="107">
        <v>0</v>
      </c>
      <c r="E29" s="84">
        <v>0</v>
      </c>
      <c r="F29" s="117">
        <f t="shared" si="0"/>
        <v>0</v>
      </c>
      <c r="H29" s="107"/>
      <c r="I29" s="84"/>
    </row>
    <row r="30" spans="2:10">
      <c r="B30" s="62"/>
      <c r="C30" s="97"/>
      <c r="D30" s="124"/>
      <c r="E30" s="97"/>
      <c r="F30" s="96"/>
      <c r="H30" s="74"/>
      <c r="I30" s="84"/>
    </row>
    <row r="31" spans="2:10">
      <c r="E31" s="84"/>
      <c r="I31" s="84"/>
    </row>
    <row r="32" spans="2:10">
      <c r="B32" s="125"/>
      <c r="C32" s="107"/>
      <c r="D32" s="84"/>
      <c r="E32" s="84"/>
    </row>
    <row r="33" spans="2:10">
      <c r="B33" s="94" t="s">
        <v>143</v>
      </c>
      <c r="C33" s="107"/>
      <c r="D33" s="84"/>
      <c r="E33" s="84"/>
      <c r="F33" s="84"/>
      <c r="G33" s="108"/>
      <c r="H33" s="109"/>
    </row>
    <row r="34" spans="2:10">
      <c r="C34" s="107"/>
      <c r="D34" s="107"/>
      <c r="E34" s="84"/>
      <c r="F34" s="107"/>
      <c r="G34" s="93"/>
      <c r="H34" s="93"/>
    </row>
    <row r="35" spans="2:10">
      <c r="B35" s="78" t="s">
        <v>99</v>
      </c>
      <c r="C35" s="112" t="s">
        <v>134</v>
      </c>
      <c r="D35" s="112" t="s">
        <v>135</v>
      </c>
      <c r="E35" s="126" t="s">
        <v>108</v>
      </c>
      <c r="F35" s="114" t="s">
        <v>136</v>
      </c>
      <c r="G35" s="70"/>
      <c r="H35" s="115" t="s">
        <v>137</v>
      </c>
      <c r="I35" s="116">
        <f>[3]step1!L10</f>
        <v>0.18</v>
      </c>
    </row>
    <row r="36" spans="2:10">
      <c r="B36" s="69">
        <v>0</v>
      </c>
      <c r="C36" s="84">
        <f>-[3]step1!L4</f>
        <v>-4000</v>
      </c>
      <c r="D36" s="107">
        <v>0</v>
      </c>
      <c r="E36" s="84">
        <v>0</v>
      </c>
      <c r="F36" s="117">
        <f>C36+D36+E36</f>
        <v>-4000</v>
      </c>
      <c r="G36" s="94"/>
      <c r="H36" s="59" t="s">
        <v>138</v>
      </c>
      <c r="I36" s="118">
        <f>F36+NPV(I35,F37:F44)</f>
        <v>-8348.5458591189945</v>
      </c>
      <c r="J36" s="119" t="s">
        <v>144</v>
      </c>
    </row>
    <row r="37" spans="2:10">
      <c r="B37" s="69">
        <v>1</v>
      </c>
      <c r="C37" s="107">
        <v>0</v>
      </c>
      <c r="D37" s="107">
        <v>-2000</v>
      </c>
      <c r="E37" s="84">
        <v>0</v>
      </c>
      <c r="F37" s="117">
        <f t="shared" ref="F37:F44" si="1">C37+D37+E37</f>
        <v>-2000</v>
      </c>
      <c r="G37" s="93"/>
      <c r="H37" s="120" t="s">
        <v>140</v>
      </c>
      <c r="I37" s="121">
        <f>IF([3]step1!L8=0,[3]step1!L5,[3]step1!L8)</f>
        <v>4</v>
      </c>
    </row>
    <row r="38" spans="2:10">
      <c r="B38" s="69">
        <v>2</v>
      </c>
      <c r="C38" s="107">
        <v>0</v>
      </c>
      <c r="D38" s="107">
        <v>-2000</v>
      </c>
      <c r="E38" s="84">
        <v>0</v>
      </c>
      <c r="F38" s="117">
        <f t="shared" si="1"/>
        <v>-2000</v>
      </c>
      <c r="H38" s="120"/>
      <c r="I38" s="117"/>
    </row>
    <row r="39" spans="2:10">
      <c r="B39" s="69">
        <v>3</v>
      </c>
      <c r="C39" s="107">
        <v>0</v>
      </c>
      <c r="D39" s="107">
        <v>-2000</v>
      </c>
      <c r="E39" s="84">
        <v>0</v>
      </c>
      <c r="F39" s="117">
        <f t="shared" si="1"/>
        <v>-2000</v>
      </c>
      <c r="G39" s="93"/>
      <c r="H39" s="120" t="s">
        <v>141</v>
      </c>
      <c r="I39" s="117">
        <f>PMT(I35,I37,-I36)</f>
        <v>-3103.4773418577793</v>
      </c>
      <c r="J39" t="s">
        <v>145</v>
      </c>
    </row>
    <row r="40" spans="2:10">
      <c r="B40" s="69">
        <v>4</v>
      </c>
      <c r="C40" s="107">
        <v>0</v>
      </c>
      <c r="D40" s="107">
        <v>-2000</v>
      </c>
      <c r="E40" s="84">
        <v>2000</v>
      </c>
      <c r="F40" s="117">
        <f t="shared" si="1"/>
        <v>0</v>
      </c>
      <c r="G40" s="93"/>
      <c r="H40" s="120"/>
      <c r="I40" s="117"/>
    </row>
    <row r="41" spans="2:10">
      <c r="B41" s="69">
        <v>5</v>
      </c>
      <c r="C41" s="107">
        <v>0</v>
      </c>
      <c r="D41" s="107">
        <v>0</v>
      </c>
      <c r="E41" s="84">
        <v>0</v>
      </c>
      <c r="F41" s="117">
        <f t="shared" si="1"/>
        <v>0</v>
      </c>
      <c r="H41" s="122" t="s">
        <v>129</v>
      </c>
      <c r="I41" s="123" t="s">
        <v>130</v>
      </c>
    </row>
    <row r="42" spans="2:10">
      <c r="B42" s="69">
        <v>6</v>
      </c>
      <c r="C42" s="107">
        <v>0</v>
      </c>
      <c r="D42" s="107">
        <v>0</v>
      </c>
      <c r="E42" s="84">
        <v>0</v>
      </c>
      <c r="F42" s="117">
        <f t="shared" si="1"/>
        <v>0</v>
      </c>
      <c r="H42" s="107"/>
    </row>
    <row r="43" spans="2:10">
      <c r="B43" s="69">
        <v>7</v>
      </c>
      <c r="C43" s="107">
        <v>0</v>
      </c>
      <c r="D43" s="107">
        <v>0</v>
      </c>
      <c r="E43" s="84">
        <v>0</v>
      </c>
      <c r="F43" s="117">
        <f t="shared" si="1"/>
        <v>0</v>
      </c>
      <c r="H43" s="107"/>
    </row>
    <row r="44" spans="2:10">
      <c r="B44" s="69">
        <v>8</v>
      </c>
      <c r="C44" s="107">
        <v>0</v>
      </c>
      <c r="D44" s="107">
        <v>0</v>
      </c>
      <c r="E44" s="84">
        <v>0</v>
      </c>
      <c r="F44" s="117">
        <f t="shared" si="1"/>
        <v>0</v>
      </c>
      <c r="H44" s="107"/>
    </row>
    <row r="45" spans="2:10">
      <c r="B45" s="62"/>
      <c r="C45" s="97"/>
      <c r="D45" s="124"/>
      <c r="E45" s="97"/>
      <c r="F45" s="96"/>
      <c r="H45" s="74"/>
    </row>
    <row r="46" spans="2:10">
      <c r="G46" s="24"/>
      <c r="H46" s="6"/>
    </row>
    <row r="48" spans="2:10" ht="17.399999999999999">
      <c r="B48" s="25"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2C569-CA3C-478B-BF78-274122ADD5E1}">
  <dimension ref="A1:L43"/>
  <sheetViews>
    <sheetView workbookViewId="0">
      <selection activeCell="J16" sqref="J16"/>
    </sheetView>
  </sheetViews>
  <sheetFormatPr defaultRowHeight="14.4"/>
  <cols>
    <col min="3" max="3" width="7.6640625" customWidth="1"/>
    <col min="4" max="4" width="14.6640625" customWidth="1"/>
    <col min="7" max="7" width="9.6640625" customWidth="1"/>
    <col min="259" max="259" width="7.6640625" customWidth="1"/>
    <col min="260" max="260" width="14.6640625" customWidth="1"/>
    <col min="263" max="263" width="9.6640625" customWidth="1"/>
    <col min="515" max="515" width="7.6640625" customWidth="1"/>
    <col min="516" max="516" width="14.6640625" customWidth="1"/>
    <col min="519" max="519" width="9.6640625" customWidth="1"/>
    <col min="771" max="771" width="7.6640625" customWidth="1"/>
    <col min="772" max="772" width="14.6640625" customWidth="1"/>
    <col min="775" max="775" width="9.6640625" customWidth="1"/>
    <col min="1027" max="1027" width="7.6640625" customWidth="1"/>
    <col min="1028" max="1028" width="14.6640625" customWidth="1"/>
    <col min="1031" max="1031" width="9.6640625" customWidth="1"/>
    <col min="1283" max="1283" width="7.6640625" customWidth="1"/>
    <col min="1284" max="1284" width="14.6640625" customWidth="1"/>
    <col min="1287" max="1287" width="9.6640625" customWidth="1"/>
    <col min="1539" max="1539" width="7.6640625" customWidth="1"/>
    <col min="1540" max="1540" width="14.6640625" customWidth="1"/>
    <col min="1543" max="1543" width="9.6640625" customWidth="1"/>
    <col min="1795" max="1795" width="7.6640625" customWidth="1"/>
    <col min="1796" max="1796" width="14.6640625" customWidth="1"/>
    <col min="1799" max="1799" width="9.6640625" customWidth="1"/>
    <col min="2051" max="2051" width="7.6640625" customWidth="1"/>
    <col min="2052" max="2052" width="14.6640625" customWidth="1"/>
    <col min="2055" max="2055" width="9.6640625" customWidth="1"/>
    <col min="2307" max="2307" width="7.6640625" customWidth="1"/>
    <col min="2308" max="2308" width="14.6640625" customWidth="1"/>
    <col min="2311" max="2311" width="9.6640625" customWidth="1"/>
    <col min="2563" max="2563" width="7.6640625" customWidth="1"/>
    <col min="2564" max="2564" width="14.6640625" customWidth="1"/>
    <col min="2567" max="2567" width="9.6640625" customWidth="1"/>
    <col min="2819" max="2819" width="7.6640625" customWidth="1"/>
    <col min="2820" max="2820" width="14.6640625" customWidth="1"/>
    <col min="2823" max="2823" width="9.6640625" customWidth="1"/>
    <col min="3075" max="3075" width="7.6640625" customWidth="1"/>
    <col min="3076" max="3076" width="14.6640625" customWidth="1"/>
    <col min="3079" max="3079" width="9.6640625" customWidth="1"/>
    <col min="3331" max="3331" width="7.6640625" customWidth="1"/>
    <col min="3332" max="3332" width="14.6640625" customWidth="1"/>
    <col min="3335" max="3335" width="9.6640625" customWidth="1"/>
    <col min="3587" max="3587" width="7.6640625" customWidth="1"/>
    <col min="3588" max="3588" width="14.6640625" customWidth="1"/>
    <col min="3591" max="3591" width="9.6640625" customWidth="1"/>
    <col min="3843" max="3843" width="7.6640625" customWidth="1"/>
    <col min="3844" max="3844" width="14.6640625" customWidth="1"/>
    <col min="3847" max="3847" width="9.6640625" customWidth="1"/>
    <col min="4099" max="4099" width="7.6640625" customWidth="1"/>
    <col min="4100" max="4100" width="14.6640625" customWidth="1"/>
    <col min="4103" max="4103" width="9.6640625" customWidth="1"/>
    <col min="4355" max="4355" width="7.6640625" customWidth="1"/>
    <col min="4356" max="4356" width="14.6640625" customWidth="1"/>
    <col min="4359" max="4359" width="9.6640625" customWidth="1"/>
    <col min="4611" max="4611" width="7.6640625" customWidth="1"/>
    <col min="4612" max="4612" width="14.6640625" customWidth="1"/>
    <col min="4615" max="4615" width="9.6640625" customWidth="1"/>
    <col min="4867" max="4867" width="7.6640625" customWidth="1"/>
    <col min="4868" max="4868" width="14.6640625" customWidth="1"/>
    <col min="4871" max="4871" width="9.6640625" customWidth="1"/>
    <col min="5123" max="5123" width="7.6640625" customWidth="1"/>
    <col min="5124" max="5124" width="14.6640625" customWidth="1"/>
    <col min="5127" max="5127" width="9.6640625" customWidth="1"/>
    <col min="5379" max="5379" width="7.6640625" customWidth="1"/>
    <col min="5380" max="5380" width="14.6640625" customWidth="1"/>
    <col min="5383" max="5383" width="9.6640625" customWidth="1"/>
    <col min="5635" max="5635" width="7.6640625" customWidth="1"/>
    <col min="5636" max="5636" width="14.6640625" customWidth="1"/>
    <col min="5639" max="5639" width="9.6640625" customWidth="1"/>
    <col min="5891" max="5891" width="7.6640625" customWidth="1"/>
    <col min="5892" max="5892" width="14.6640625" customWidth="1"/>
    <col min="5895" max="5895" width="9.6640625" customWidth="1"/>
    <col min="6147" max="6147" width="7.6640625" customWidth="1"/>
    <col min="6148" max="6148" width="14.6640625" customWidth="1"/>
    <col min="6151" max="6151" width="9.6640625" customWidth="1"/>
    <col min="6403" max="6403" width="7.6640625" customWidth="1"/>
    <col min="6404" max="6404" width="14.6640625" customWidth="1"/>
    <col min="6407" max="6407" width="9.6640625" customWidth="1"/>
    <col min="6659" max="6659" width="7.6640625" customWidth="1"/>
    <col min="6660" max="6660" width="14.6640625" customWidth="1"/>
    <col min="6663" max="6663" width="9.6640625" customWidth="1"/>
    <col min="6915" max="6915" width="7.6640625" customWidth="1"/>
    <col min="6916" max="6916" width="14.6640625" customWidth="1"/>
    <col min="6919" max="6919" width="9.6640625" customWidth="1"/>
    <col min="7171" max="7171" width="7.6640625" customWidth="1"/>
    <col min="7172" max="7172" width="14.6640625" customWidth="1"/>
    <col min="7175" max="7175" width="9.6640625" customWidth="1"/>
    <col min="7427" max="7427" width="7.6640625" customWidth="1"/>
    <col min="7428" max="7428" width="14.6640625" customWidth="1"/>
    <col min="7431" max="7431" width="9.6640625" customWidth="1"/>
    <col min="7683" max="7683" width="7.6640625" customWidth="1"/>
    <col min="7684" max="7684" width="14.6640625" customWidth="1"/>
    <col min="7687" max="7687" width="9.6640625" customWidth="1"/>
    <col min="7939" max="7939" width="7.6640625" customWidth="1"/>
    <col min="7940" max="7940" width="14.6640625" customWidth="1"/>
    <col min="7943" max="7943" width="9.6640625" customWidth="1"/>
    <col min="8195" max="8195" width="7.6640625" customWidth="1"/>
    <col min="8196" max="8196" width="14.6640625" customWidth="1"/>
    <col min="8199" max="8199" width="9.6640625" customWidth="1"/>
    <col min="8451" max="8451" width="7.6640625" customWidth="1"/>
    <col min="8452" max="8452" width="14.6640625" customWidth="1"/>
    <col min="8455" max="8455" width="9.6640625" customWidth="1"/>
    <col min="8707" max="8707" width="7.6640625" customWidth="1"/>
    <col min="8708" max="8708" width="14.6640625" customWidth="1"/>
    <col min="8711" max="8711" width="9.6640625" customWidth="1"/>
    <col min="8963" max="8963" width="7.6640625" customWidth="1"/>
    <col min="8964" max="8964" width="14.6640625" customWidth="1"/>
    <col min="8967" max="8967" width="9.6640625" customWidth="1"/>
    <col min="9219" max="9219" width="7.6640625" customWidth="1"/>
    <col min="9220" max="9220" width="14.6640625" customWidth="1"/>
    <col min="9223" max="9223" width="9.6640625" customWidth="1"/>
    <col min="9475" max="9475" width="7.6640625" customWidth="1"/>
    <col min="9476" max="9476" width="14.6640625" customWidth="1"/>
    <col min="9479" max="9479" width="9.6640625" customWidth="1"/>
    <col min="9731" max="9731" width="7.6640625" customWidth="1"/>
    <col min="9732" max="9732" width="14.6640625" customWidth="1"/>
    <col min="9735" max="9735" width="9.6640625" customWidth="1"/>
    <col min="9987" max="9987" width="7.6640625" customWidth="1"/>
    <col min="9988" max="9988" width="14.6640625" customWidth="1"/>
    <col min="9991" max="9991" width="9.6640625" customWidth="1"/>
    <col min="10243" max="10243" width="7.6640625" customWidth="1"/>
    <col min="10244" max="10244" width="14.6640625" customWidth="1"/>
    <col min="10247" max="10247" width="9.6640625" customWidth="1"/>
    <col min="10499" max="10499" width="7.6640625" customWidth="1"/>
    <col min="10500" max="10500" width="14.6640625" customWidth="1"/>
    <col min="10503" max="10503" width="9.6640625" customWidth="1"/>
    <col min="10755" max="10755" width="7.6640625" customWidth="1"/>
    <col min="10756" max="10756" width="14.6640625" customWidth="1"/>
    <col min="10759" max="10759" width="9.6640625" customWidth="1"/>
    <col min="11011" max="11011" width="7.6640625" customWidth="1"/>
    <col min="11012" max="11012" width="14.6640625" customWidth="1"/>
    <col min="11015" max="11015" width="9.6640625" customWidth="1"/>
    <col min="11267" max="11267" width="7.6640625" customWidth="1"/>
    <col min="11268" max="11268" width="14.6640625" customWidth="1"/>
    <col min="11271" max="11271" width="9.6640625" customWidth="1"/>
    <col min="11523" max="11523" width="7.6640625" customWidth="1"/>
    <col min="11524" max="11524" width="14.6640625" customWidth="1"/>
    <col min="11527" max="11527" width="9.6640625" customWidth="1"/>
    <col min="11779" max="11779" width="7.6640625" customWidth="1"/>
    <col min="11780" max="11780" width="14.6640625" customWidth="1"/>
    <col min="11783" max="11783" width="9.6640625" customWidth="1"/>
    <col min="12035" max="12035" width="7.6640625" customWidth="1"/>
    <col min="12036" max="12036" width="14.6640625" customWidth="1"/>
    <col min="12039" max="12039" width="9.6640625" customWidth="1"/>
    <col min="12291" max="12291" width="7.6640625" customWidth="1"/>
    <col min="12292" max="12292" width="14.6640625" customWidth="1"/>
    <col min="12295" max="12295" width="9.6640625" customWidth="1"/>
    <col min="12547" max="12547" width="7.6640625" customWidth="1"/>
    <col min="12548" max="12548" width="14.6640625" customWidth="1"/>
    <col min="12551" max="12551" width="9.6640625" customWidth="1"/>
    <col min="12803" max="12803" width="7.6640625" customWidth="1"/>
    <col min="12804" max="12804" width="14.6640625" customWidth="1"/>
    <col min="12807" max="12807" width="9.6640625" customWidth="1"/>
    <col min="13059" max="13059" width="7.6640625" customWidth="1"/>
    <col min="13060" max="13060" width="14.6640625" customWidth="1"/>
    <col min="13063" max="13063" width="9.6640625" customWidth="1"/>
    <col min="13315" max="13315" width="7.6640625" customWidth="1"/>
    <col min="13316" max="13316" width="14.6640625" customWidth="1"/>
    <col min="13319" max="13319" width="9.6640625" customWidth="1"/>
    <col min="13571" max="13571" width="7.6640625" customWidth="1"/>
    <col min="13572" max="13572" width="14.6640625" customWidth="1"/>
    <col min="13575" max="13575" width="9.6640625" customWidth="1"/>
    <col min="13827" max="13827" width="7.6640625" customWidth="1"/>
    <col min="13828" max="13828" width="14.6640625" customWidth="1"/>
    <col min="13831" max="13831" width="9.6640625" customWidth="1"/>
    <col min="14083" max="14083" width="7.6640625" customWidth="1"/>
    <col min="14084" max="14084" width="14.6640625" customWidth="1"/>
    <col min="14087" max="14087" width="9.6640625" customWidth="1"/>
    <col min="14339" max="14339" width="7.6640625" customWidth="1"/>
    <col min="14340" max="14340" width="14.6640625" customWidth="1"/>
    <col min="14343" max="14343" width="9.6640625" customWidth="1"/>
    <col min="14595" max="14595" width="7.6640625" customWidth="1"/>
    <col min="14596" max="14596" width="14.6640625" customWidth="1"/>
    <col min="14599" max="14599" width="9.6640625" customWidth="1"/>
    <col min="14851" max="14851" width="7.6640625" customWidth="1"/>
    <col min="14852" max="14852" width="14.6640625" customWidth="1"/>
    <col min="14855" max="14855" width="9.6640625" customWidth="1"/>
    <col min="15107" max="15107" width="7.6640625" customWidth="1"/>
    <col min="15108" max="15108" width="14.6640625" customWidth="1"/>
    <col min="15111" max="15111" width="9.6640625" customWidth="1"/>
    <col min="15363" max="15363" width="7.6640625" customWidth="1"/>
    <col min="15364" max="15364" width="14.6640625" customWidth="1"/>
    <col min="15367" max="15367" width="9.6640625" customWidth="1"/>
    <col min="15619" max="15619" width="7.6640625" customWidth="1"/>
    <col min="15620" max="15620" width="14.6640625" customWidth="1"/>
    <col min="15623" max="15623" width="9.6640625" customWidth="1"/>
    <col min="15875" max="15875" width="7.6640625" customWidth="1"/>
    <col min="15876" max="15876" width="14.6640625" customWidth="1"/>
    <col min="15879" max="15879" width="9.6640625" customWidth="1"/>
    <col min="16131" max="16131" width="7.6640625" customWidth="1"/>
    <col min="16132" max="16132" width="14.6640625" customWidth="1"/>
    <col min="16135" max="16135" width="9.6640625" customWidth="1"/>
  </cols>
  <sheetData>
    <row r="1" spans="1:12" ht="17.399999999999999">
      <c r="D1" s="43" t="str">
        <f>[4]step1!D1</f>
        <v>Benefit/cost ratio</v>
      </c>
    </row>
    <row r="2" spans="1:12" ht="17.399999999999999">
      <c r="D2" s="43" t="str">
        <f>[4]step1!D2</f>
        <v>Auto inspection problems</v>
      </c>
    </row>
    <row r="5" spans="1:12">
      <c r="B5" s="44" t="str">
        <f>[4]step1!B5</f>
        <v>The State of Utter Confusion is considering an automobile inspection program to reduce</v>
      </c>
      <c r="C5" s="45"/>
      <c r="D5" s="45"/>
      <c r="E5" s="45"/>
      <c r="F5" s="45"/>
      <c r="G5" s="45"/>
      <c r="H5" s="45"/>
      <c r="I5" s="46"/>
    </row>
    <row r="6" spans="1:12">
      <c r="B6" s="47" t="str">
        <f>[4]step1!B6</f>
        <v>traffic accidents.  The program will cost $50,000,000 per year to administer.  Each of the</v>
      </c>
      <c r="C6" s="48"/>
      <c r="D6" s="48"/>
      <c r="E6" s="48"/>
      <c r="F6" s="48"/>
      <c r="G6" s="48"/>
      <c r="H6" s="49"/>
      <c r="I6" s="50"/>
    </row>
    <row r="7" spans="1:12">
      <c r="B7" s="47" t="str">
        <f>[4]step1!B7</f>
        <v>6,000,000 vehicle owners will pay a $15 inspection fee and lose one hour of time valued at</v>
      </c>
      <c r="C7" s="48"/>
      <c r="D7" s="48"/>
      <c r="E7" s="48"/>
      <c r="F7" s="48"/>
      <c r="G7" s="48"/>
      <c r="H7" s="48"/>
      <c r="I7" s="50"/>
      <c r="L7" s="84"/>
    </row>
    <row r="8" spans="1:12">
      <c r="B8" s="47" t="str">
        <f>[4]step1!B8</f>
        <v>$10 each year.  The program expects to reduce traffic accidents in the state by 60,000 per</v>
      </c>
      <c r="C8" s="48"/>
      <c r="D8" s="48"/>
      <c r="E8" s="48"/>
      <c r="F8" s="48"/>
      <c r="G8" s="48"/>
      <c r="H8" s="48"/>
      <c r="I8" s="50"/>
      <c r="L8" s="127"/>
    </row>
    <row r="9" spans="1:12">
      <c r="B9" s="47" t="str">
        <f>[4]step1!B9</f>
        <v>year, at a savings of $4000 in injuries per accident.  Use annual benefit/cost analysis to</v>
      </c>
      <c r="C9" s="48"/>
      <c r="D9" s="48"/>
      <c r="E9" s="48"/>
      <c r="F9" s="48"/>
      <c r="G9" s="48"/>
      <c r="H9" s="48"/>
      <c r="I9" s="50"/>
    </row>
    <row r="10" spans="1:12">
      <c r="B10" s="51" t="str">
        <f>[4]step1!B10</f>
        <v>see if the program should be implemented at i = 8%.</v>
      </c>
      <c r="C10" s="52"/>
      <c r="D10" s="52"/>
      <c r="E10" s="52"/>
      <c r="F10" s="53"/>
      <c r="G10" s="52"/>
      <c r="H10" s="52"/>
      <c r="I10" s="54"/>
      <c r="L10" s="84"/>
    </row>
    <row r="11" spans="1:12">
      <c r="L11" s="127"/>
    </row>
    <row r="12" spans="1:12">
      <c r="L12" s="128"/>
    </row>
    <row r="13" spans="1:12" ht="15.6">
      <c r="A13" s="55" t="s">
        <v>97</v>
      </c>
      <c r="B13" s="56"/>
      <c r="C13" s="57"/>
      <c r="D13" s="57"/>
      <c r="E13" s="57"/>
      <c r="F13" s="57"/>
      <c r="G13" s="57"/>
      <c r="H13" s="57"/>
      <c r="I13" s="58"/>
    </row>
    <row r="14" spans="1:12" ht="15.6">
      <c r="A14" s="59"/>
      <c r="B14" s="60" t="s">
        <v>146</v>
      </c>
      <c r="I14" s="61"/>
      <c r="L14" s="129"/>
    </row>
    <row r="15" spans="1:12">
      <c r="A15" s="62"/>
      <c r="B15" s="63"/>
      <c r="C15" s="63"/>
      <c r="D15" s="63"/>
      <c r="E15" s="63"/>
      <c r="F15" s="63"/>
      <c r="G15" s="63"/>
      <c r="H15" s="63"/>
      <c r="I15" s="64"/>
    </row>
    <row r="18" spans="2:12">
      <c r="F18" s="6"/>
      <c r="G18" s="130"/>
      <c r="H18" s="92"/>
    </row>
    <row r="19" spans="2:12">
      <c r="B19" s="94"/>
      <c r="D19" s="131"/>
      <c r="H19" s="84"/>
    </row>
    <row r="20" spans="2:12">
      <c r="G20" s="132"/>
      <c r="H20" s="127"/>
      <c r="K20" s="132"/>
      <c r="L20" s="84"/>
    </row>
    <row r="21" spans="2:12">
      <c r="B21" s="78" t="s">
        <v>147</v>
      </c>
      <c r="C21" s="57"/>
      <c r="D21" s="133">
        <f>[4]step1!L5 *10000*[4]step1!L8</f>
        <v>240000000</v>
      </c>
      <c r="G21" s="103"/>
      <c r="H21" s="84"/>
    </row>
    <row r="22" spans="2:12">
      <c r="B22" s="59"/>
      <c r="D22" s="134"/>
      <c r="E22" s="84"/>
      <c r="H22" s="84"/>
    </row>
    <row r="23" spans="2:12">
      <c r="B23" s="59" t="s">
        <v>148</v>
      </c>
      <c r="D23" s="135">
        <f>[4]step1!L5*1000000*(10+[4]step1!L12)</f>
        <v>150000000</v>
      </c>
      <c r="E23" s="84"/>
      <c r="H23" s="84"/>
    </row>
    <row r="24" spans="2:12">
      <c r="B24" s="59"/>
      <c r="C24" s="74"/>
      <c r="D24" s="136"/>
      <c r="E24" s="84"/>
    </row>
    <row r="25" spans="2:12">
      <c r="B25" s="59" t="s">
        <v>149</v>
      </c>
      <c r="D25" s="135">
        <f>[4]step1!L4</f>
        <v>50000000</v>
      </c>
      <c r="G25" s="103"/>
      <c r="I25" s="76"/>
    </row>
    <row r="26" spans="2:12">
      <c r="B26" s="59"/>
      <c r="D26" s="137"/>
      <c r="E26" s="84"/>
    </row>
    <row r="27" spans="2:12">
      <c r="B27" s="59" t="s">
        <v>150</v>
      </c>
      <c r="D27" s="138">
        <f>(D21-D23)/D25</f>
        <v>1.8</v>
      </c>
      <c r="E27" s="84"/>
      <c r="F27" s="103" t="s">
        <v>151</v>
      </c>
    </row>
    <row r="28" spans="2:12">
      <c r="B28" s="59"/>
      <c r="C28" s="74"/>
      <c r="D28" s="118"/>
      <c r="E28" s="84"/>
    </row>
    <row r="29" spans="2:12">
      <c r="B29" s="139" t="s">
        <v>152</v>
      </c>
      <c r="C29" s="140"/>
      <c r="D29" s="141" t="str">
        <f>IF(D27&gt;1, "Y","N")</f>
        <v>Y</v>
      </c>
      <c r="E29" s="84"/>
    </row>
    <row r="30" spans="2:12">
      <c r="C30" s="74"/>
      <c r="D30" s="84"/>
      <c r="E30" s="84"/>
      <c r="G30" s="103"/>
    </row>
    <row r="31" spans="2:12">
      <c r="C31" s="74"/>
      <c r="D31" s="84"/>
      <c r="E31" s="84"/>
    </row>
    <row r="32" spans="2:12" ht="17.399999999999999">
      <c r="B32" s="25" t="s">
        <v>117</v>
      </c>
      <c r="C32" s="74"/>
      <c r="D32" s="84"/>
      <c r="E32" s="84"/>
      <c r="G32" s="103"/>
    </row>
    <row r="33" spans="3:8">
      <c r="C33" s="74"/>
      <c r="D33" s="84"/>
      <c r="E33" s="84"/>
      <c r="H33" s="77"/>
    </row>
    <row r="34" spans="3:8">
      <c r="C34" s="74"/>
      <c r="D34" s="142"/>
      <c r="E34" s="84"/>
    </row>
    <row r="35" spans="3:8">
      <c r="C35" s="74"/>
      <c r="D35" s="84"/>
      <c r="E35" s="84"/>
    </row>
    <row r="36" spans="3:8">
      <c r="C36" s="24"/>
      <c r="D36" s="84"/>
      <c r="E36" s="84"/>
      <c r="G36" s="103"/>
    </row>
    <row r="37" spans="3:8">
      <c r="D37" s="84"/>
      <c r="E37" s="84"/>
    </row>
    <row r="38" spans="3:8">
      <c r="E38" s="6" t="s">
        <v>115</v>
      </c>
    </row>
    <row r="39" spans="3:8">
      <c r="C39" s="74"/>
    </row>
    <row r="40" spans="3:8">
      <c r="C40" s="74"/>
    </row>
    <row r="41" spans="3:8">
      <c r="C41" s="74"/>
    </row>
    <row r="42" spans="3:8">
      <c r="C42" s="74"/>
    </row>
    <row r="43" spans="3:8">
      <c r="D43" s="7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ECBE3-2C1F-49C2-B09E-1A42E5855EBB}">
  <dimension ref="A1:L43"/>
  <sheetViews>
    <sheetView workbookViewId="0">
      <selection sqref="A1:XFD1048576"/>
    </sheetView>
  </sheetViews>
  <sheetFormatPr defaultRowHeight="14.4"/>
  <cols>
    <col min="2" max="2" width="10.6640625" customWidth="1"/>
    <col min="5" max="5" width="11.109375" customWidth="1"/>
    <col min="6" max="6" width="9.6640625" customWidth="1"/>
    <col min="7" max="8" width="10.6640625" customWidth="1"/>
    <col min="9" max="9" width="2.6640625" customWidth="1"/>
    <col min="10" max="10" width="10.6640625" customWidth="1"/>
    <col min="11" max="11" width="9.6640625" customWidth="1"/>
    <col min="12" max="12" width="10.6640625" customWidth="1"/>
    <col min="258" max="258" width="10.6640625" customWidth="1"/>
    <col min="261" max="261" width="11.109375" customWidth="1"/>
    <col min="262" max="262" width="9.6640625" customWidth="1"/>
    <col min="263" max="264" width="10.6640625" customWidth="1"/>
    <col min="265" max="265" width="2.6640625" customWidth="1"/>
    <col min="266" max="266" width="10.6640625" customWidth="1"/>
    <col min="267" max="267" width="9.6640625" customWidth="1"/>
    <col min="268" max="268" width="10.6640625" customWidth="1"/>
    <col min="514" max="514" width="10.6640625" customWidth="1"/>
    <col min="517" max="517" width="11.109375" customWidth="1"/>
    <col min="518" max="518" width="9.6640625" customWidth="1"/>
    <col min="519" max="520" width="10.6640625" customWidth="1"/>
    <col min="521" max="521" width="2.6640625" customWidth="1"/>
    <col min="522" max="522" width="10.6640625" customWidth="1"/>
    <col min="523" max="523" width="9.6640625" customWidth="1"/>
    <col min="524" max="524" width="10.6640625" customWidth="1"/>
    <col min="770" max="770" width="10.6640625" customWidth="1"/>
    <col min="773" max="773" width="11.109375" customWidth="1"/>
    <col min="774" max="774" width="9.6640625" customWidth="1"/>
    <col min="775" max="776" width="10.6640625" customWidth="1"/>
    <col min="777" max="777" width="2.6640625" customWidth="1"/>
    <col min="778" max="778" width="10.6640625" customWidth="1"/>
    <col min="779" max="779" width="9.6640625" customWidth="1"/>
    <col min="780" max="780" width="10.6640625" customWidth="1"/>
    <col min="1026" max="1026" width="10.6640625" customWidth="1"/>
    <col min="1029" max="1029" width="11.109375" customWidth="1"/>
    <col min="1030" max="1030" width="9.6640625" customWidth="1"/>
    <col min="1031" max="1032" width="10.6640625" customWidth="1"/>
    <col min="1033" max="1033" width="2.6640625" customWidth="1"/>
    <col min="1034" max="1034" width="10.6640625" customWidth="1"/>
    <col min="1035" max="1035" width="9.6640625" customWidth="1"/>
    <col min="1036" max="1036" width="10.6640625" customWidth="1"/>
    <col min="1282" max="1282" width="10.6640625" customWidth="1"/>
    <col min="1285" max="1285" width="11.109375" customWidth="1"/>
    <col min="1286" max="1286" width="9.6640625" customWidth="1"/>
    <col min="1287" max="1288" width="10.6640625" customWidth="1"/>
    <col min="1289" max="1289" width="2.6640625" customWidth="1"/>
    <col min="1290" max="1290" width="10.6640625" customWidth="1"/>
    <col min="1291" max="1291" width="9.6640625" customWidth="1"/>
    <col min="1292" max="1292" width="10.6640625" customWidth="1"/>
    <col min="1538" max="1538" width="10.6640625" customWidth="1"/>
    <col min="1541" max="1541" width="11.109375" customWidth="1"/>
    <col min="1542" max="1542" width="9.6640625" customWidth="1"/>
    <col min="1543" max="1544" width="10.6640625" customWidth="1"/>
    <col min="1545" max="1545" width="2.6640625" customWidth="1"/>
    <col min="1546" max="1546" width="10.6640625" customWidth="1"/>
    <col min="1547" max="1547" width="9.6640625" customWidth="1"/>
    <col min="1548" max="1548" width="10.6640625" customWidth="1"/>
    <col min="1794" max="1794" width="10.6640625" customWidth="1"/>
    <col min="1797" max="1797" width="11.109375" customWidth="1"/>
    <col min="1798" max="1798" width="9.6640625" customWidth="1"/>
    <col min="1799" max="1800" width="10.6640625" customWidth="1"/>
    <col min="1801" max="1801" width="2.6640625" customWidth="1"/>
    <col min="1802" max="1802" width="10.6640625" customWidth="1"/>
    <col min="1803" max="1803" width="9.6640625" customWidth="1"/>
    <col min="1804" max="1804" width="10.6640625" customWidth="1"/>
    <col min="2050" max="2050" width="10.6640625" customWidth="1"/>
    <col min="2053" max="2053" width="11.109375" customWidth="1"/>
    <col min="2054" max="2054" width="9.6640625" customWidth="1"/>
    <col min="2055" max="2056" width="10.6640625" customWidth="1"/>
    <col min="2057" max="2057" width="2.6640625" customWidth="1"/>
    <col min="2058" max="2058" width="10.6640625" customWidth="1"/>
    <col min="2059" max="2059" width="9.6640625" customWidth="1"/>
    <col min="2060" max="2060" width="10.6640625" customWidth="1"/>
    <col min="2306" max="2306" width="10.6640625" customWidth="1"/>
    <col min="2309" max="2309" width="11.109375" customWidth="1"/>
    <col min="2310" max="2310" width="9.6640625" customWidth="1"/>
    <col min="2311" max="2312" width="10.6640625" customWidth="1"/>
    <col min="2313" max="2313" width="2.6640625" customWidth="1"/>
    <col min="2314" max="2314" width="10.6640625" customWidth="1"/>
    <col min="2315" max="2315" width="9.6640625" customWidth="1"/>
    <col min="2316" max="2316" width="10.6640625" customWidth="1"/>
    <col min="2562" max="2562" width="10.6640625" customWidth="1"/>
    <col min="2565" max="2565" width="11.109375" customWidth="1"/>
    <col min="2566" max="2566" width="9.6640625" customWidth="1"/>
    <col min="2567" max="2568" width="10.6640625" customWidth="1"/>
    <col min="2569" max="2569" width="2.6640625" customWidth="1"/>
    <col min="2570" max="2570" width="10.6640625" customWidth="1"/>
    <col min="2571" max="2571" width="9.6640625" customWidth="1"/>
    <col min="2572" max="2572" width="10.6640625" customWidth="1"/>
    <col min="2818" max="2818" width="10.6640625" customWidth="1"/>
    <col min="2821" max="2821" width="11.109375" customWidth="1"/>
    <col min="2822" max="2822" width="9.6640625" customWidth="1"/>
    <col min="2823" max="2824" width="10.6640625" customWidth="1"/>
    <col min="2825" max="2825" width="2.6640625" customWidth="1"/>
    <col min="2826" max="2826" width="10.6640625" customWidth="1"/>
    <col min="2827" max="2827" width="9.6640625" customWidth="1"/>
    <col min="2828" max="2828" width="10.6640625" customWidth="1"/>
    <col min="3074" max="3074" width="10.6640625" customWidth="1"/>
    <col min="3077" max="3077" width="11.109375" customWidth="1"/>
    <col min="3078" max="3078" width="9.6640625" customWidth="1"/>
    <col min="3079" max="3080" width="10.6640625" customWidth="1"/>
    <col min="3081" max="3081" width="2.6640625" customWidth="1"/>
    <col min="3082" max="3082" width="10.6640625" customWidth="1"/>
    <col min="3083" max="3083" width="9.6640625" customWidth="1"/>
    <col min="3084" max="3084" width="10.6640625" customWidth="1"/>
    <col min="3330" max="3330" width="10.6640625" customWidth="1"/>
    <col min="3333" max="3333" width="11.109375" customWidth="1"/>
    <col min="3334" max="3334" width="9.6640625" customWidth="1"/>
    <col min="3335" max="3336" width="10.6640625" customWidth="1"/>
    <col min="3337" max="3337" width="2.6640625" customWidth="1"/>
    <col min="3338" max="3338" width="10.6640625" customWidth="1"/>
    <col min="3339" max="3339" width="9.6640625" customWidth="1"/>
    <col min="3340" max="3340" width="10.6640625" customWidth="1"/>
    <col min="3586" max="3586" width="10.6640625" customWidth="1"/>
    <col min="3589" max="3589" width="11.109375" customWidth="1"/>
    <col min="3590" max="3590" width="9.6640625" customWidth="1"/>
    <col min="3591" max="3592" width="10.6640625" customWidth="1"/>
    <col min="3593" max="3593" width="2.6640625" customWidth="1"/>
    <col min="3594" max="3594" width="10.6640625" customWidth="1"/>
    <col min="3595" max="3595" width="9.6640625" customWidth="1"/>
    <col min="3596" max="3596" width="10.6640625" customWidth="1"/>
    <col min="3842" max="3842" width="10.6640625" customWidth="1"/>
    <col min="3845" max="3845" width="11.109375" customWidth="1"/>
    <col min="3846" max="3846" width="9.6640625" customWidth="1"/>
    <col min="3847" max="3848" width="10.6640625" customWidth="1"/>
    <col min="3849" max="3849" width="2.6640625" customWidth="1"/>
    <col min="3850" max="3850" width="10.6640625" customWidth="1"/>
    <col min="3851" max="3851" width="9.6640625" customWidth="1"/>
    <col min="3852" max="3852" width="10.6640625" customWidth="1"/>
    <col min="4098" max="4098" width="10.6640625" customWidth="1"/>
    <col min="4101" max="4101" width="11.109375" customWidth="1"/>
    <col min="4102" max="4102" width="9.6640625" customWidth="1"/>
    <col min="4103" max="4104" width="10.6640625" customWidth="1"/>
    <col min="4105" max="4105" width="2.6640625" customWidth="1"/>
    <col min="4106" max="4106" width="10.6640625" customWidth="1"/>
    <col min="4107" max="4107" width="9.6640625" customWidth="1"/>
    <col min="4108" max="4108" width="10.6640625" customWidth="1"/>
    <col min="4354" max="4354" width="10.6640625" customWidth="1"/>
    <col min="4357" max="4357" width="11.109375" customWidth="1"/>
    <col min="4358" max="4358" width="9.6640625" customWidth="1"/>
    <col min="4359" max="4360" width="10.6640625" customWidth="1"/>
    <col min="4361" max="4361" width="2.6640625" customWidth="1"/>
    <col min="4362" max="4362" width="10.6640625" customWidth="1"/>
    <col min="4363" max="4363" width="9.6640625" customWidth="1"/>
    <col min="4364" max="4364" width="10.6640625" customWidth="1"/>
    <col min="4610" max="4610" width="10.6640625" customWidth="1"/>
    <col min="4613" max="4613" width="11.109375" customWidth="1"/>
    <col min="4614" max="4614" width="9.6640625" customWidth="1"/>
    <col min="4615" max="4616" width="10.6640625" customWidth="1"/>
    <col min="4617" max="4617" width="2.6640625" customWidth="1"/>
    <col min="4618" max="4618" width="10.6640625" customWidth="1"/>
    <col min="4619" max="4619" width="9.6640625" customWidth="1"/>
    <col min="4620" max="4620" width="10.6640625" customWidth="1"/>
    <col min="4866" max="4866" width="10.6640625" customWidth="1"/>
    <col min="4869" max="4869" width="11.109375" customWidth="1"/>
    <col min="4870" max="4870" width="9.6640625" customWidth="1"/>
    <col min="4871" max="4872" width="10.6640625" customWidth="1"/>
    <col min="4873" max="4873" width="2.6640625" customWidth="1"/>
    <col min="4874" max="4874" width="10.6640625" customWidth="1"/>
    <col min="4875" max="4875" width="9.6640625" customWidth="1"/>
    <col min="4876" max="4876" width="10.6640625" customWidth="1"/>
    <col min="5122" max="5122" width="10.6640625" customWidth="1"/>
    <col min="5125" max="5125" width="11.109375" customWidth="1"/>
    <col min="5126" max="5126" width="9.6640625" customWidth="1"/>
    <col min="5127" max="5128" width="10.6640625" customWidth="1"/>
    <col min="5129" max="5129" width="2.6640625" customWidth="1"/>
    <col min="5130" max="5130" width="10.6640625" customWidth="1"/>
    <col min="5131" max="5131" width="9.6640625" customWidth="1"/>
    <col min="5132" max="5132" width="10.6640625" customWidth="1"/>
    <col min="5378" max="5378" width="10.6640625" customWidth="1"/>
    <col min="5381" max="5381" width="11.109375" customWidth="1"/>
    <col min="5382" max="5382" width="9.6640625" customWidth="1"/>
    <col min="5383" max="5384" width="10.6640625" customWidth="1"/>
    <col min="5385" max="5385" width="2.6640625" customWidth="1"/>
    <col min="5386" max="5386" width="10.6640625" customWidth="1"/>
    <col min="5387" max="5387" width="9.6640625" customWidth="1"/>
    <col min="5388" max="5388" width="10.6640625" customWidth="1"/>
    <col min="5634" max="5634" width="10.6640625" customWidth="1"/>
    <col min="5637" max="5637" width="11.109375" customWidth="1"/>
    <col min="5638" max="5638" width="9.6640625" customWidth="1"/>
    <col min="5639" max="5640" width="10.6640625" customWidth="1"/>
    <col min="5641" max="5641" width="2.6640625" customWidth="1"/>
    <col min="5642" max="5642" width="10.6640625" customWidth="1"/>
    <col min="5643" max="5643" width="9.6640625" customWidth="1"/>
    <col min="5644" max="5644" width="10.6640625" customWidth="1"/>
    <col min="5890" max="5890" width="10.6640625" customWidth="1"/>
    <col min="5893" max="5893" width="11.109375" customWidth="1"/>
    <col min="5894" max="5894" width="9.6640625" customWidth="1"/>
    <col min="5895" max="5896" width="10.6640625" customWidth="1"/>
    <col min="5897" max="5897" width="2.6640625" customWidth="1"/>
    <col min="5898" max="5898" width="10.6640625" customWidth="1"/>
    <col min="5899" max="5899" width="9.6640625" customWidth="1"/>
    <col min="5900" max="5900" width="10.6640625" customWidth="1"/>
    <col min="6146" max="6146" width="10.6640625" customWidth="1"/>
    <col min="6149" max="6149" width="11.109375" customWidth="1"/>
    <col min="6150" max="6150" width="9.6640625" customWidth="1"/>
    <col min="6151" max="6152" width="10.6640625" customWidth="1"/>
    <col min="6153" max="6153" width="2.6640625" customWidth="1"/>
    <col min="6154" max="6154" width="10.6640625" customWidth="1"/>
    <col min="6155" max="6155" width="9.6640625" customWidth="1"/>
    <col min="6156" max="6156" width="10.6640625" customWidth="1"/>
    <col min="6402" max="6402" width="10.6640625" customWidth="1"/>
    <col min="6405" max="6405" width="11.109375" customWidth="1"/>
    <col min="6406" max="6406" width="9.6640625" customWidth="1"/>
    <col min="6407" max="6408" width="10.6640625" customWidth="1"/>
    <col min="6409" max="6409" width="2.6640625" customWidth="1"/>
    <col min="6410" max="6410" width="10.6640625" customWidth="1"/>
    <col min="6411" max="6411" width="9.6640625" customWidth="1"/>
    <col min="6412" max="6412" width="10.6640625" customWidth="1"/>
    <col min="6658" max="6658" width="10.6640625" customWidth="1"/>
    <col min="6661" max="6661" width="11.109375" customWidth="1"/>
    <col min="6662" max="6662" width="9.6640625" customWidth="1"/>
    <col min="6663" max="6664" width="10.6640625" customWidth="1"/>
    <col min="6665" max="6665" width="2.6640625" customWidth="1"/>
    <col min="6666" max="6666" width="10.6640625" customWidth="1"/>
    <col min="6667" max="6667" width="9.6640625" customWidth="1"/>
    <col min="6668" max="6668" width="10.6640625" customWidth="1"/>
    <col min="6914" max="6914" width="10.6640625" customWidth="1"/>
    <col min="6917" max="6917" width="11.109375" customWidth="1"/>
    <col min="6918" max="6918" width="9.6640625" customWidth="1"/>
    <col min="6919" max="6920" width="10.6640625" customWidth="1"/>
    <col min="6921" max="6921" width="2.6640625" customWidth="1"/>
    <col min="6922" max="6922" width="10.6640625" customWidth="1"/>
    <col min="6923" max="6923" width="9.6640625" customWidth="1"/>
    <col min="6924" max="6924" width="10.6640625" customWidth="1"/>
    <col min="7170" max="7170" width="10.6640625" customWidth="1"/>
    <col min="7173" max="7173" width="11.109375" customWidth="1"/>
    <col min="7174" max="7174" width="9.6640625" customWidth="1"/>
    <col min="7175" max="7176" width="10.6640625" customWidth="1"/>
    <col min="7177" max="7177" width="2.6640625" customWidth="1"/>
    <col min="7178" max="7178" width="10.6640625" customWidth="1"/>
    <col min="7179" max="7179" width="9.6640625" customWidth="1"/>
    <col min="7180" max="7180" width="10.6640625" customWidth="1"/>
    <col min="7426" max="7426" width="10.6640625" customWidth="1"/>
    <col min="7429" max="7429" width="11.109375" customWidth="1"/>
    <col min="7430" max="7430" width="9.6640625" customWidth="1"/>
    <col min="7431" max="7432" width="10.6640625" customWidth="1"/>
    <col min="7433" max="7433" width="2.6640625" customWidth="1"/>
    <col min="7434" max="7434" width="10.6640625" customWidth="1"/>
    <col min="7435" max="7435" width="9.6640625" customWidth="1"/>
    <col min="7436" max="7436" width="10.6640625" customWidth="1"/>
    <col min="7682" max="7682" width="10.6640625" customWidth="1"/>
    <col min="7685" max="7685" width="11.109375" customWidth="1"/>
    <col min="7686" max="7686" width="9.6640625" customWidth="1"/>
    <col min="7687" max="7688" width="10.6640625" customWidth="1"/>
    <col min="7689" max="7689" width="2.6640625" customWidth="1"/>
    <col min="7690" max="7690" width="10.6640625" customWidth="1"/>
    <col min="7691" max="7691" width="9.6640625" customWidth="1"/>
    <col min="7692" max="7692" width="10.6640625" customWidth="1"/>
    <col min="7938" max="7938" width="10.6640625" customWidth="1"/>
    <col min="7941" max="7941" width="11.109375" customWidth="1"/>
    <col min="7942" max="7942" width="9.6640625" customWidth="1"/>
    <col min="7943" max="7944" width="10.6640625" customWidth="1"/>
    <col min="7945" max="7945" width="2.6640625" customWidth="1"/>
    <col min="7946" max="7946" width="10.6640625" customWidth="1"/>
    <col min="7947" max="7947" width="9.6640625" customWidth="1"/>
    <col min="7948" max="7948" width="10.6640625" customWidth="1"/>
    <col min="8194" max="8194" width="10.6640625" customWidth="1"/>
    <col min="8197" max="8197" width="11.109375" customWidth="1"/>
    <col min="8198" max="8198" width="9.6640625" customWidth="1"/>
    <col min="8199" max="8200" width="10.6640625" customWidth="1"/>
    <col min="8201" max="8201" width="2.6640625" customWidth="1"/>
    <col min="8202" max="8202" width="10.6640625" customWidth="1"/>
    <col min="8203" max="8203" width="9.6640625" customWidth="1"/>
    <col min="8204" max="8204" width="10.6640625" customWidth="1"/>
    <col min="8450" max="8450" width="10.6640625" customWidth="1"/>
    <col min="8453" max="8453" width="11.109375" customWidth="1"/>
    <col min="8454" max="8454" width="9.6640625" customWidth="1"/>
    <col min="8455" max="8456" width="10.6640625" customWidth="1"/>
    <col min="8457" max="8457" width="2.6640625" customWidth="1"/>
    <col min="8458" max="8458" width="10.6640625" customWidth="1"/>
    <col min="8459" max="8459" width="9.6640625" customWidth="1"/>
    <col min="8460" max="8460" width="10.6640625" customWidth="1"/>
    <col min="8706" max="8706" width="10.6640625" customWidth="1"/>
    <col min="8709" max="8709" width="11.109375" customWidth="1"/>
    <col min="8710" max="8710" width="9.6640625" customWidth="1"/>
    <col min="8711" max="8712" width="10.6640625" customWidth="1"/>
    <col min="8713" max="8713" width="2.6640625" customWidth="1"/>
    <col min="8714" max="8714" width="10.6640625" customWidth="1"/>
    <col min="8715" max="8715" width="9.6640625" customWidth="1"/>
    <col min="8716" max="8716" width="10.6640625" customWidth="1"/>
    <col min="8962" max="8962" width="10.6640625" customWidth="1"/>
    <col min="8965" max="8965" width="11.109375" customWidth="1"/>
    <col min="8966" max="8966" width="9.6640625" customWidth="1"/>
    <col min="8967" max="8968" width="10.6640625" customWidth="1"/>
    <col min="8969" max="8969" width="2.6640625" customWidth="1"/>
    <col min="8970" max="8970" width="10.6640625" customWidth="1"/>
    <col min="8971" max="8971" width="9.6640625" customWidth="1"/>
    <col min="8972" max="8972" width="10.6640625" customWidth="1"/>
    <col min="9218" max="9218" width="10.6640625" customWidth="1"/>
    <col min="9221" max="9221" width="11.109375" customWidth="1"/>
    <col min="9222" max="9222" width="9.6640625" customWidth="1"/>
    <col min="9223" max="9224" width="10.6640625" customWidth="1"/>
    <col min="9225" max="9225" width="2.6640625" customWidth="1"/>
    <col min="9226" max="9226" width="10.6640625" customWidth="1"/>
    <col min="9227" max="9227" width="9.6640625" customWidth="1"/>
    <col min="9228" max="9228" width="10.6640625" customWidth="1"/>
    <col min="9474" max="9474" width="10.6640625" customWidth="1"/>
    <col min="9477" max="9477" width="11.109375" customWidth="1"/>
    <col min="9478" max="9478" width="9.6640625" customWidth="1"/>
    <col min="9479" max="9480" width="10.6640625" customWidth="1"/>
    <col min="9481" max="9481" width="2.6640625" customWidth="1"/>
    <col min="9482" max="9482" width="10.6640625" customWidth="1"/>
    <col min="9483" max="9483" width="9.6640625" customWidth="1"/>
    <col min="9484" max="9484" width="10.6640625" customWidth="1"/>
    <col min="9730" max="9730" width="10.6640625" customWidth="1"/>
    <col min="9733" max="9733" width="11.109375" customWidth="1"/>
    <col min="9734" max="9734" width="9.6640625" customWidth="1"/>
    <col min="9735" max="9736" width="10.6640625" customWidth="1"/>
    <col min="9737" max="9737" width="2.6640625" customWidth="1"/>
    <col min="9738" max="9738" width="10.6640625" customWidth="1"/>
    <col min="9739" max="9739" width="9.6640625" customWidth="1"/>
    <col min="9740" max="9740" width="10.6640625" customWidth="1"/>
    <col min="9986" max="9986" width="10.6640625" customWidth="1"/>
    <col min="9989" max="9989" width="11.109375" customWidth="1"/>
    <col min="9990" max="9990" width="9.6640625" customWidth="1"/>
    <col min="9991" max="9992" width="10.6640625" customWidth="1"/>
    <col min="9993" max="9993" width="2.6640625" customWidth="1"/>
    <col min="9994" max="9994" width="10.6640625" customWidth="1"/>
    <col min="9995" max="9995" width="9.6640625" customWidth="1"/>
    <col min="9996" max="9996" width="10.6640625" customWidth="1"/>
    <col min="10242" max="10242" width="10.6640625" customWidth="1"/>
    <col min="10245" max="10245" width="11.109375" customWidth="1"/>
    <col min="10246" max="10246" width="9.6640625" customWidth="1"/>
    <col min="10247" max="10248" width="10.6640625" customWidth="1"/>
    <col min="10249" max="10249" width="2.6640625" customWidth="1"/>
    <col min="10250" max="10250" width="10.6640625" customWidth="1"/>
    <col min="10251" max="10251" width="9.6640625" customWidth="1"/>
    <col min="10252" max="10252" width="10.6640625" customWidth="1"/>
    <col min="10498" max="10498" width="10.6640625" customWidth="1"/>
    <col min="10501" max="10501" width="11.109375" customWidth="1"/>
    <col min="10502" max="10502" width="9.6640625" customWidth="1"/>
    <col min="10503" max="10504" width="10.6640625" customWidth="1"/>
    <col min="10505" max="10505" width="2.6640625" customWidth="1"/>
    <col min="10506" max="10506" width="10.6640625" customWidth="1"/>
    <col min="10507" max="10507" width="9.6640625" customWidth="1"/>
    <col min="10508" max="10508" width="10.6640625" customWidth="1"/>
    <col min="10754" max="10754" width="10.6640625" customWidth="1"/>
    <col min="10757" max="10757" width="11.109375" customWidth="1"/>
    <col min="10758" max="10758" width="9.6640625" customWidth="1"/>
    <col min="10759" max="10760" width="10.6640625" customWidth="1"/>
    <col min="10761" max="10761" width="2.6640625" customWidth="1"/>
    <col min="10762" max="10762" width="10.6640625" customWidth="1"/>
    <col min="10763" max="10763" width="9.6640625" customWidth="1"/>
    <col min="10764" max="10764" width="10.6640625" customWidth="1"/>
    <col min="11010" max="11010" width="10.6640625" customWidth="1"/>
    <col min="11013" max="11013" width="11.109375" customWidth="1"/>
    <col min="11014" max="11014" width="9.6640625" customWidth="1"/>
    <col min="11015" max="11016" width="10.6640625" customWidth="1"/>
    <col min="11017" max="11017" width="2.6640625" customWidth="1"/>
    <col min="11018" max="11018" width="10.6640625" customWidth="1"/>
    <col min="11019" max="11019" width="9.6640625" customWidth="1"/>
    <col min="11020" max="11020" width="10.6640625" customWidth="1"/>
    <col min="11266" max="11266" width="10.6640625" customWidth="1"/>
    <col min="11269" max="11269" width="11.109375" customWidth="1"/>
    <col min="11270" max="11270" width="9.6640625" customWidth="1"/>
    <col min="11271" max="11272" width="10.6640625" customWidth="1"/>
    <col min="11273" max="11273" width="2.6640625" customWidth="1"/>
    <col min="11274" max="11274" width="10.6640625" customWidth="1"/>
    <col min="11275" max="11275" width="9.6640625" customWidth="1"/>
    <col min="11276" max="11276" width="10.6640625" customWidth="1"/>
    <col min="11522" max="11522" width="10.6640625" customWidth="1"/>
    <col min="11525" max="11525" width="11.109375" customWidth="1"/>
    <col min="11526" max="11526" width="9.6640625" customWidth="1"/>
    <col min="11527" max="11528" width="10.6640625" customWidth="1"/>
    <col min="11529" max="11529" width="2.6640625" customWidth="1"/>
    <col min="11530" max="11530" width="10.6640625" customWidth="1"/>
    <col min="11531" max="11531" width="9.6640625" customWidth="1"/>
    <col min="11532" max="11532" width="10.6640625" customWidth="1"/>
    <col min="11778" max="11778" width="10.6640625" customWidth="1"/>
    <col min="11781" max="11781" width="11.109375" customWidth="1"/>
    <col min="11782" max="11782" width="9.6640625" customWidth="1"/>
    <col min="11783" max="11784" width="10.6640625" customWidth="1"/>
    <col min="11785" max="11785" width="2.6640625" customWidth="1"/>
    <col min="11786" max="11786" width="10.6640625" customWidth="1"/>
    <col min="11787" max="11787" width="9.6640625" customWidth="1"/>
    <col min="11788" max="11788" width="10.6640625" customWidth="1"/>
    <col min="12034" max="12034" width="10.6640625" customWidth="1"/>
    <col min="12037" max="12037" width="11.109375" customWidth="1"/>
    <col min="12038" max="12038" width="9.6640625" customWidth="1"/>
    <col min="12039" max="12040" width="10.6640625" customWidth="1"/>
    <col min="12041" max="12041" width="2.6640625" customWidth="1"/>
    <col min="12042" max="12042" width="10.6640625" customWidth="1"/>
    <col min="12043" max="12043" width="9.6640625" customWidth="1"/>
    <col min="12044" max="12044" width="10.6640625" customWidth="1"/>
    <col min="12290" max="12290" width="10.6640625" customWidth="1"/>
    <col min="12293" max="12293" width="11.109375" customWidth="1"/>
    <col min="12294" max="12294" width="9.6640625" customWidth="1"/>
    <col min="12295" max="12296" width="10.6640625" customWidth="1"/>
    <col min="12297" max="12297" width="2.6640625" customWidth="1"/>
    <col min="12298" max="12298" width="10.6640625" customWidth="1"/>
    <col min="12299" max="12299" width="9.6640625" customWidth="1"/>
    <col min="12300" max="12300" width="10.6640625" customWidth="1"/>
    <col min="12546" max="12546" width="10.6640625" customWidth="1"/>
    <col min="12549" max="12549" width="11.109375" customWidth="1"/>
    <col min="12550" max="12550" width="9.6640625" customWidth="1"/>
    <col min="12551" max="12552" width="10.6640625" customWidth="1"/>
    <col min="12553" max="12553" width="2.6640625" customWidth="1"/>
    <col min="12554" max="12554" width="10.6640625" customWidth="1"/>
    <col min="12555" max="12555" width="9.6640625" customWidth="1"/>
    <col min="12556" max="12556" width="10.6640625" customWidth="1"/>
    <col min="12802" max="12802" width="10.6640625" customWidth="1"/>
    <col min="12805" max="12805" width="11.109375" customWidth="1"/>
    <col min="12806" max="12806" width="9.6640625" customWidth="1"/>
    <col min="12807" max="12808" width="10.6640625" customWidth="1"/>
    <col min="12809" max="12809" width="2.6640625" customWidth="1"/>
    <col min="12810" max="12810" width="10.6640625" customWidth="1"/>
    <col min="12811" max="12811" width="9.6640625" customWidth="1"/>
    <col min="12812" max="12812" width="10.6640625" customWidth="1"/>
    <col min="13058" max="13058" width="10.6640625" customWidth="1"/>
    <col min="13061" max="13061" width="11.109375" customWidth="1"/>
    <col min="13062" max="13062" width="9.6640625" customWidth="1"/>
    <col min="13063" max="13064" width="10.6640625" customWidth="1"/>
    <col min="13065" max="13065" width="2.6640625" customWidth="1"/>
    <col min="13066" max="13066" width="10.6640625" customWidth="1"/>
    <col min="13067" max="13067" width="9.6640625" customWidth="1"/>
    <col min="13068" max="13068" width="10.6640625" customWidth="1"/>
    <col min="13314" max="13314" width="10.6640625" customWidth="1"/>
    <col min="13317" max="13317" width="11.109375" customWidth="1"/>
    <col min="13318" max="13318" width="9.6640625" customWidth="1"/>
    <col min="13319" max="13320" width="10.6640625" customWidth="1"/>
    <col min="13321" max="13321" width="2.6640625" customWidth="1"/>
    <col min="13322" max="13322" width="10.6640625" customWidth="1"/>
    <col min="13323" max="13323" width="9.6640625" customWidth="1"/>
    <col min="13324" max="13324" width="10.6640625" customWidth="1"/>
    <col min="13570" max="13570" width="10.6640625" customWidth="1"/>
    <col min="13573" max="13573" width="11.109375" customWidth="1"/>
    <col min="13574" max="13574" width="9.6640625" customWidth="1"/>
    <col min="13575" max="13576" width="10.6640625" customWidth="1"/>
    <col min="13577" max="13577" width="2.6640625" customWidth="1"/>
    <col min="13578" max="13578" width="10.6640625" customWidth="1"/>
    <col min="13579" max="13579" width="9.6640625" customWidth="1"/>
    <col min="13580" max="13580" width="10.6640625" customWidth="1"/>
    <col min="13826" max="13826" width="10.6640625" customWidth="1"/>
    <col min="13829" max="13829" width="11.109375" customWidth="1"/>
    <col min="13830" max="13830" width="9.6640625" customWidth="1"/>
    <col min="13831" max="13832" width="10.6640625" customWidth="1"/>
    <col min="13833" max="13833" width="2.6640625" customWidth="1"/>
    <col min="13834" max="13834" width="10.6640625" customWidth="1"/>
    <col min="13835" max="13835" width="9.6640625" customWidth="1"/>
    <col min="13836" max="13836" width="10.6640625" customWidth="1"/>
    <col min="14082" max="14082" width="10.6640625" customWidth="1"/>
    <col min="14085" max="14085" width="11.109375" customWidth="1"/>
    <col min="14086" max="14086" width="9.6640625" customWidth="1"/>
    <col min="14087" max="14088" width="10.6640625" customWidth="1"/>
    <col min="14089" max="14089" width="2.6640625" customWidth="1"/>
    <col min="14090" max="14090" width="10.6640625" customWidth="1"/>
    <col min="14091" max="14091" width="9.6640625" customWidth="1"/>
    <col min="14092" max="14092" width="10.6640625" customWidth="1"/>
    <col min="14338" max="14338" width="10.6640625" customWidth="1"/>
    <col min="14341" max="14341" width="11.109375" customWidth="1"/>
    <col min="14342" max="14342" width="9.6640625" customWidth="1"/>
    <col min="14343" max="14344" width="10.6640625" customWidth="1"/>
    <col min="14345" max="14345" width="2.6640625" customWidth="1"/>
    <col min="14346" max="14346" width="10.6640625" customWidth="1"/>
    <col min="14347" max="14347" width="9.6640625" customWidth="1"/>
    <col min="14348" max="14348" width="10.6640625" customWidth="1"/>
    <col min="14594" max="14594" width="10.6640625" customWidth="1"/>
    <col min="14597" max="14597" width="11.109375" customWidth="1"/>
    <col min="14598" max="14598" width="9.6640625" customWidth="1"/>
    <col min="14599" max="14600" width="10.6640625" customWidth="1"/>
    <col min="14601" max="14601" width="2.6640625" customWidth="1"/>
    <col min="14602" max="14602" width="10.6640625" customWidth="1"/>
    <col min="14603" max="14603" width="9.6640625" customWidth="1"/>
    <col min="14604" max="14604" width="10.6640625" customWidth="1"/>
    <col min="14850" max="14850" width="10.6640625" customWidth="1"/>
    <col min="14853" max="14853" width="11.109375" customWidth="1"/>
    <col min="14854" max="14854" width="9.6640625" customWidth="1"/>
    <col min="14855" max="14856" width="10.6640625" customWidth="1"/>
    <col min="14857" max="14857" width="2.6640625" customWidth="1"/>
    <col min="14858" max="14858" width="10.6640625" customWidth="1"/>
    <col min="14859" max="14859" width="9.6640625" customWidth="1"/>
    <col min="14860" max="14860" width="10.6640625" customWidth="1"/>
    <col min="15106" max="15106" width="10.6640625" customWidth="1"/>
    <col min="15109" max="15109" width="11.109375" customWidth="1"/>
    <col min="15110" max="15110" width="9.6640625" customWidth="1"/>
    <col min="15111" max="15112" width="10.6640625" customWidth="1"/>
    <col min="15113" max="15113" width="2.6640625" customWidth="1"/>
    <col min="15114" max="15114" width="10.6640625" customWidth="1"/>
    <col min="15115" max="15115" width="9.6640625" customWidth="1"/>
    <col min="15116" max="15116" width="10.6640625" customWidth="1"/>
    <col min="15362" max="15362" width="10.6640625" customWidth="1"/>
    <col min="15365" max="15365" width="11.109375" customWidth="1"/>
    <col min="15366" max="15366" width="9.6640625" customWidth="1"/>
    <col min="15367" max="15368" width="10.6640625" customWidth="1"/>
    <col min="15369" max="15369" width="2.6640625" customWidth="1"/>
    <col min="15370" max="15370" width="10.6640625" customWidth="1"/>
    <col min="15371" max="15371" width="9.6640625" customWidth="1"/>
    <col min="15372" max="15372" width="10.6640625" customWidth="1"/>
    <col min="15618" max="15618" width="10.6640625" customWidth="1"/>
    <col min="15621" max="15621" width="11.109375" customWidth="1"/>
    <col min="15622" max="15622" width="9.6640625" customWidth="1"/>
    <col min="15623" max="15624" width="10.6640625" customWidth="1"/>
    <col min="15625" max="15625" width="2.6640625" customWidth="1"/>
    <col min="15626" max="15626" width="10.6640625" customWidth="1"/>
    <col min="15627" max="15627" width="9.6640625" customWidth="1"/>
    <col min="15628" max="15628" width="10.6640625" customWidth="1"/>
    <col min="15874" max="15874" width="10.6640625" customWidth="1"/>
    <col min="15877" max="15877" width="11.109375" customWidth="1"/>
    <col min="15878" max="15878" width="9.6640625" customWidth="1"/>
    <col min="15879" max="15880" width="10.6640625" customWidth="1"/>
    <col min="15881" max="15881" width="2.6640625" customWidth="1"/>
    <col min="15882" max="15882" width="10.6640625" customWidth="1"/>
    <col min="15883" max="15883" width="9.6640625" customWidth="1"/>
    <col min="15884" max="15884" width="10.6640625" customWidth="1"/>
    <col min="16130" max="16130" width="10.6640625" customWidth="1"/>
    <col min="16133" max="16133" width="11.109375" customWidth="1"/>
    <col min="16134" max="16134" width="9.6640625" customWidth="1"/>
    <col min="16135" max="16136" width="10.6640625" customWidth="1"/>
    <col min="16137" max="16137" width="2.6640625" customWidth="1"/>
    <col min="16138" max="16138" width="10.6640625" customWidth="1"/>
    <col min="16139" max="16139" width="9.6640625" customWidth="1"/>
    <col min="16140" max="16140" width="10.6640625" customWidth="1"/>
  </cols>
  <sheetData>
    <row r="1" spans="1:9" ht="17.399999999999999">
      <c r="D1" s="43" t="str">
        <f>[5]step1!D1</f>
        <v>Net cash flow</v>
      </c>
    </row>
    <row r="2" spans="1:9" ht="17.399999999999999">
      <c r="D2" s="43" t="str">
        <f>[5]step1!D2</f>
        <v>Manufacturing line problems</v>
      </c>
    </row>
    <row r="5" spans="1:9">
      <c r="B5" s="44" t="str">
        <f>[5]step1!B5</f>
        <v>Find the cash flow for Intendo's new Game Girl game manufacturing line.  They expect</v>
      </c>
      <c r="C5" s="45"/>
      <c r="D5" s="45"/>
      <c r="E5" s="45"/>
      <c r="F5" s="45"/>
      <c r="G5" s="45"/>
      <c r="H5" s="45"/>
      <c r="I5" s="46"/>
    </row>
    <row r="6" spans="1:9">
      <c r="B6" s="47" t="str">
        <f>[5]step1!B6</f>
        <v>the game to generate $4,000,000 income in year one, increasing by $300,000 each</v>
      </c>
      <c r="C6" s="48"/>
      <c r="D6" s="48"/>
      <c r="E6" s="48"/>
      <c r="F6" s="48"/>
      <c r="G6" s="48"/>
      <c r="H6" s="49"/>
      <c r="I6" s="50"/>
    </row>
    <row r="7" spans="1:9">
      <c r="B7" s="47" t="str">
        <f>[5]step1!B7</f>
        <v>succeeding year.  Capital costs for the line are $2,000,000 in year 0.  The item will be</v>
      </c>
      <c r="C7" s="48"/>
      <c r="D7" s="48"/>
      <c r="E7" s="48"/>
      <c r="F7" s="48"/>
      <c r="G7" s="48"/>
      <c r="H7" s="48"/>
      <c r="I7" s="50"/>
    </row>
    <row r="8" spans="1:9">
      <c r="B8" s="47" t="str">
        <f>[5]step1!B8</f>
        <v>MACRS depreciated using a 5 year recovery period.  Annual expenses are $700,000.</v>
      </c>
      <c r="C8" s="48"/>
      <c r="D8" s="48"/>
      <c r="E8" s="48"/>
      <c r="F8" s="48"/>
      <c r="G8" s="48"/>
      <c r="H8" s="48"/>
      <c r="I8" s="50"/>
    </row>
    <row r="9" spans="1:9">
      <c r="B9" s="47" t="str">
        <f>[5]step1!B9</f>
        <v>The line will be scrapped in year 6 with $100000 salvage value.  The effective tax rate</v>
      </c>
      <c r="C9" s="48"/>
      <c r="D9" s="48"/>
      <c r="E9" s="48"/>
      <c r="F9" s="48"/>
      <c r="G9" s="48"/>
      <c r="H9" s="48"/>
      <c r="I9" s="50"/>
    </row>
    <row r="10" spans="1:9">
      <c r="B10" s="51" t="str">
        <f>[5]step1!B10</f>
        <v>will be 50% per year.</v>
      </c>
      <c r="C10" s="52"/>
      <c r="D10" s="52"/>
      <c r="E10" s="52"/>
      <c r="F10" s="53"/>
      <c r="G10" s="52"/>
      <c r="H10" s="52"/>
      <c r="I10" s="54"/>
    </row>
    <row r="12" spans="1:9" ht="15.6">
      <c r="A12" s="55" t="s">
        <v>97</v>
      </c>
      <c r="B12" s="56"/>
      <c r="C12" s="57"/>
      <c r="D12" s="57"/>
      <c r="E12" s="57"/>
      <c r="F12" s="57"/>
      <c r="G12" s="57"/>
      <c r="H12" s="57"/>
      <c r="I12" s="58"/>
    </row>
    <row r="13" spans="1:9" ht="15.6">
      <c r="A13" s="59"/>
      <c r="B13" s="60" t="s">
        <v>98</v>
      </c>
      <c r="I13" s="61"/>
    </row>
    <row r="14" spans="1:9">
      <c r="A14" s="62"/>
      <c r="B14" s="63"/>
      <c r="C14" s="63"/>
      <c r="D14" s="63"/>
      <c r="E14" s="63"/>
      <c r="F14" s="63"/>
      <c r="G14" s="63"/>
      <c r="H14" s="63"/>
      <c r="I14" s="64"/>
    </row>
    <row r="16" spans="1:9">
      <c r="G16" s="65"/>
    </row>
    <row r="19" spans="1:12" ht="28.8">
      <c r="A19" s="66" t="s">
        <v>99</v>
      </c>
      <c r="B19" s="67" t="s">
        <v>100</v>
      </c>
      <c r="C19" s="67" t="s">
        <v>101</v>
      </c>
      <c r="D19" s="67" t="s">
        <v>102</v>
      </c>
      <c r="E19" s="67" t="s">
        <v>103</v>
      </c>
      <c r="F19" s="67" t="s">
        <v>104</v>
      </c>
      <c r="G19" s="67" t="s">
        <v>105</v>
      </c>
      <c r="H19" s="67" t="s">
        <v>106</v>
      </c>
      <c r="I19" s="67"/>
      <c r="J19" s="67" t="s">
        <v>107</v>
      </c>
      <c r="K19" s="67" t="s">
        <v>108</v>
      </c>
      <c r="L19" s="68" t="s">
        <v>109</v>
      </c>
    </row>
    <row r="20" spans="1:12">
      <c r="A20" s="69">
        <v>0</v>
      </c>
      <c r="B20" s="70"/>
      <c r="C20" s="70"/>
      <c r="E20" s="70"/>
      <c r="F20" s="70"/>
      <c r="G20" s="70">
        <f t="shared" ref="G20:G26" si="0">B20-C20-E20+F20</f>
        <v>0</v>
      </c>
      <c r="H20" s="70">
        <f t="shared" ref="H20:H26" si="1">$F$30*G20</f>
        <v>0</v>
      </c>
      <c r="I20" s="70"/>
      <c r="J20" s="70">
        <f>[5]step1!L4</f>
        <v>2000000</v>
      </c>
      <c r="K20" s="70"/>
      <c r="L20" s="143">
        <f t="shared" ref="L20:L26" si="2">B20-C20-H20-J20+K20</f>
        <v>-2000000</v>
      </c>
    </row>
    <row r="21" spans="1:12">
      <c r="A21" s="69">
        <v>1</v>
      </c>
      <c r="B21" s="70">
        <f>[5]step1!L1</f>
        <v>4000000</v>
      </c>
      <c r="C21" s="70">
        <f>[5]step1!$L$3</f>
        <v>700000</v>
      </c>
      <c r="D21" s="72">
        <v>0.2</v>
      </c>
      <c r="E21" s="70">
        <f t="shared" ref="E21:E26" si="3">$J$20*D21</f>
        <v>400000</v>
      </c>
      <c r="F21" s="70"/>
      <c r="G21" s="70">
        <f t="shared" si="0"/>
        <v>2900000</v>
      </c>
      <c r="H21" s="70">
        <f t="shared" si="1"/>
        <v>1450000</v>
      </c>
      <c r="I21" s="70"/>
      <c r="J21" s="70"/>
      <c r="K21" s="70"/>
      <c r="L21" s="143">
        <f t="shared" si="2"/>
        <v>1850000</v>
      </c>
    </row>
    <row r="22" spans="1:12">
      <c r="A22" s="69">
        <v>2</v>
      </c>
      <c r="B22" s="70">
        <f>[5]step1!L1+[5]step1!L2</f>
        <v>4300000</v>
      </c>
      <c r="C22" s="70">
        <f>[5]step1!$L$3</f>
        <v>700000</v>
      </c>
      <c r="D22" s="72">
        <v>0.32</v>
      </c>
      <c r="E22" s="70">
        <f t="shared" si="3"/>
        <v>640000</v>
      </c>
      <c r="F22" s="70"/>
      <c r="G22" s="70">
        <f t="shared" si="0"/>
        <v>2960000</v>
      </c>
      <c r="H22" s="70">
        <f t="shared" si="1"/>
        <v>1480000</v>
      </c>
      <c r="I22" s="70"/>
      <c r="J22" s="70"/>
      <c r="K22" s="70"/>
      <c r="L22" s="143">
        <f t="shared" si="2"/>
        <v>2120000</v>
      </c>
    </row>
    <row r="23" spans="1:12">
      <c r="A23" s="69">
        <v>3</v>
      </c>
      <c r="B23" s="70">
        <f>[5]step1!L1+2*[5]step1!L2</f>
        <v>4600000</v>
      </c>
      <c r="C23" s="70">
        <f>[5]step1!$L$3</f>
        <v>700000</v>
      </c>
      <c r="D23" s="72">
        <v>0.192</v>
      </c>
      <c r="E23" s="70">
        <f t="shared" si="3"/>
        <v>384000</v>
      </c>
      <c r="F23" s="70"/>
      <c r="G23" s="70">
        <f t="shared" si="0"/>
        <v>3516000</v>
      </c>
      <c r="H23" s="70">
        <f t="shared" si="1"/>
        <v>1758000</v>
      </c>
      <c r="I23" s="70"/>
      <c r="J23" s="70"/>
      <c r="K23" s="70"/>
      <c r="L23" s="143">
        <f t="shared" si="2"/>
        <v>2142000</v>
      </c>
    </row>
    <row r="24" spans="1:12">
      <c r="A24" s="69">
        <v>4</v>
      </c>
      <c r="B24" s="70">
        <f>[5]step1!L1+3*[5]step1!L2</f>
        <v>4900000</v>
      </c>
      <c r="C24" s="70">
        <f>[5]step1!$L$3</f>
        <v>700000</v>
      </c>
      <c r="D24" s="72">
        <v>0.1152</v>
      </c>
      <c r="E24" s="70">
        <f t="shared" si="3"/>
        <v>230400</v>
      </c>
      <c r="F24" s="70"/>
      <c r="G24" s="70">
        <f t="shared" si="0"/>
        <v>3969600</v>
      </c>
      <c r="H24" s="70">
        <f t="shared" si="1"/>
        <v>1984800</v>
      </c>
      <c r="I24" s="70"/>
      <c r="J24" s="70"/>
      <c r="K24" s="70"/>
      <c r="L24" s="143">
        <f t="shared" si="2"/>
        <v>2215200</v>
      </c>
    </row>
    <row r="25" spans="1:12">
      <c r="A25" s="69">
        <v>5</v>
      </c>
      <c r="B25" s="70">
        <f>[5]step1!L1+4*[5]step1!L2</f>
        <v>5200000</v>
      </c>
      <c r="C25" s="70">
        <f>[5]step1!$L$3</f>
        <v>700000</v>
      </c>
      <c r="D25" s="72">
        <v>0.1152</v>
      </c>
      <c r="E25" s="70">
        <f t="shared" si="3"/>
        <v>230400</v>
      </c>
      <c r="F25" s="70"/>
      <c r="G25" s="70">
        <f t="shared" si="0"/>
        <v>4269600</v>
      </c>
      <c r="H25" s="70">
        <f t="shared" si="1"/>
        <v>2134800</v>
      </c>
      <c r="I25" s="70"/>
      <c r="J25" s="70"/>
      <c r="K25" s="70"/>
      <c r="L25" s="143">
        <f t="shared" si="2"/>
        <v>2365200</v>
      </c>
    </row>
    <row r="26" spans="1:12">
      <c r="A26" s="69">
        <v>6</v>
      </c>
      <c r="B26" s="70">
        <f>[5]step1!L1+5*[5]step1!L2</f>
        <v>5500000</v>
      </c>
      <c r="C26" s="70">
        <f>[5]step1!$L$3</f>
        <v>700000</v>
      </c>
      <c r="D26" s="72">
        <v>5.7599999999999998E-2</v>
      </c>
      <c r="E26" s="70">
        <f t="shared" si="3"/>
        <v>115200</v>
      </c>
      <c r="F26" s="70">
        <f>[5]step1!L5</f>
        <v>100000</v>
      </c>
      <c r="G26" s="70">
        <f t="shared" si="0"/>
        <v>4784800</v>
      </c>
      <c r="H26" s="70">
        <f t="shared" si="1"/>
        <v>2392400</v>
      </c>
      <c r="I26" s="70"/>
      <c r="J26" s="70"/>
      <c r="K26" s="70">
        <f>[5]step1!L5</f>
        <v>100000</v>
      </c>
      <c r="L26" s="143">
        <f t="shared" si="2"/>
        <v>2507600</v>
      </c>
    </row>
    <row r="27" spans="1:12">
      <c r="A27" s="62"/>
      <c r="B27" s="63"/>
      <c r="C27" s="63"/>
      <c r="D27" s="63"/>
      <c r="E27" s="63"/>
      <c r="F27" s="63"/>
      <c r="G27" s="63"/>
      <c r="H27" s="63"/>
      <c r="I27" s="63"/>
      <c r="J27" s="63"/>
      <c r="K27" s="63"/>
      <c r="L27" s="64"/>
    </row>
    <row r="28" spans="1:12">
      <c r="C28" s="74"/>
      <c r="L28" s="75" t="s">
        <v>110</v>
      </c>
    </row>
    <row r="29" spans="1:12">
      <c r="C29" s="74"/>
    </row>
    <row r="30" spans="1:12">
      <c r="C30" s="74"/>
      <c r="D30" s="66" t="s">
        <v>111</v>
      </c>
      <c r="E30" s="144"/>
      <c r="F30" s="145">
        <f>[5]step1!L8</f>
        <v>0.5</v>
      </c>
      <c r="G30" s="74"/>
    </row>
    <row r="31" spans="1:12">
      <c r="C31" s="74"/>
      <c r="G31" s="65"/>
    </row>
    <row r="32" spans="1:12">
      <c r="C32" s="74"/>
    </row>
    <row r="33" spans="2:8" ht="17.399999999999999">
      <c r="B33" s="25" t="s">
        <v>117</v>
      </c>
      <c r="C33" s="74"/>
      <c r="G33" s="76"/>
      <c r="H33" s="77"/>
    </row>
    <row r="34" spans="2:8">
      <c r="C34" s="74"/>
    </row>
    <row r="35" spans="2:8">
      <c r="C35" s="74"/>
    </row>
    <row r="36" spans="2:8">
      <c r="C36" s="74"/>
    </row>
    <row r="37" spans="2:8">
      <c r="C37" s="74"/>
    </row>
    <row r="38" spans="2:8">
      <c r="C38" s="74"/>
    </row>
    <row r="39" spans="2:8">
      <c r="C39" s="74"/>
    </row>
    <row r="40" spans="2:8">
      <c r="C40" s="74"/>
    </row>
    <row r="41" spans="2:8">
      <c r="C41" s="74"/>
    </row>
    <row r="42" spans="2:8">
      <c r="C42" s="74"/>
    </row>
    <row r="43" spans="2:8">
      <c r="D43" s="7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AD211-5BCF-4982-ABC8-425FDC3C2D39}">
  <dimension ref="A1:L43"/>
  <sheetViews>
    <sheetView workbookViewId="0">
      <selection activeCell="J11" sqref="J11"/>
    </sheetView>
  </sheetViews>
  <sheetFormatPr defaultRowHeight="14.4"/>
  <cols>
    <col min="5" max="5" width="9.6640625" customWidth="1"/>
    <col min="6" max="6" width="8.6640625" customWidth="1"/>
    <col min="12" max="12" width="9" customWidth="1"/>
    <col min="261" max="261" width="9.6640625" customWidth="1"/>
    <col min="262" max="262" width="8.6640625" customWidth="1"/>
    <col min="268" max="268" width="9" customWidth="1"/>
    <col min="517" max="517" width="9.6640625" customWidth="1"/>
    <col min="518" max="518" width="8.6640625" customWidth="1"/>
    <col min="524" max="524" width="9" customWidth="1"/>
    <col min="773" max="773" width="9.6640625" customWidth="1"/>
    <col min="774" max="774" width="8.6640625" customWidth="1"/>
    <col min="780" max="780" width="9" customWidth="1"/>
    <col min="1029" max="1029" width="9.6640625" customWidth="1"/>
    <col min="1030" max="1030" width="8.6640625" customWidth="1"/>
    <col min="1036" max="1036" width="9" customWidth="1"/>
    <col min="1285" max="1285" width="9.6640625" customWidth="1"/>
    <col min="1286" max="1286" width="8.6640625" customWidth="1"/>
    <col min="1292" max="1292" width="9" customWidth="1"/>
    <col min="1541" max="1541" width="9.6640625" customWidth="1"/>
    <col min="1542" max="1542" width="8.6640625" customWidth="1"/>
    <col min="1548" max="1548" width="9" customWidth="1"/>
    <col min="1797" max="1797" width="9.6640625" customWidth="1"/>
    <col min="1798" max="1798" width="8.6640625" customWidth="1"/>
    <col min="1804" max="1804" width="9" customWidth="1"/>
    <col min="2053" max="2053" width="9.6640625" customWidth="1"/>
    <col min="2054" max="2054" width="8.6640625" customWidth="1"/>
    <col min="2060" max="2060" width="9" customWidth="1"/>
    <col min="2309" max="2309" width="9.6640625" customWidth="1"/>
    <col min="2310" max="2310" width="8.6640625" customWidth="1"/>
    <col min="2316" max="2316" width="9" customWidth="1"/>
    <col min="2565" max="2565" width="9.6640625" customWidth="1"/>
    <col min="2566" max="2566" width="8.6640625" customWidth="1"/>
    <col min="2572" max="2572" width="9" customWidth="1"/>
    <col min="2821" max="2821" width="9.6640625" customWidth="1"/>
    <col min="2822" max="2822" width="8.6640625" customWidth="1"/>
    <col min="2828" max="2828" width="9" customWidth="1"/>
    <col min="3077" max="3077" width="9.6640625" customWidth="1"/>
    <col min="3078" max="3078" width="8.6640625" customWidth="1"/>
    <col min="3084" max="3084" width="9" customWidth="1"/>
    <col min="3333" max="3333" width="9.6640625" customWidth="1"/>
    <col min="3334" max="3334" width="8.6640625" customWidth="1"/>
    <col min="3340" max="3340" width="9" customWidth="1"/>
    <col min="3589" max="3589" width="9.6640625" customWidth="1"/>
    <col min="3590" max="3590" width="8.6640625" customWidth="1"/>
    <col min="3596" max="3596" width="9" customWidth="1"/>
    <col min="3845" max="3845" width="9.6640625" customWidth="1"/>
    <col min="3846" max="3846" width="8.6640625" customWidth="1"/>
    <col min="3852" max="3852" width="9" customWidth="1"/>
    <col min="4101" max="4101" width="9.6640625" customWidth="1"/>
    <col min="4102" max="4102" width="8.6640625" customWidth="1"/>
    <col min="4108" max="4108" width="9" customWidth="1"/>
    <col min="4357" max="4357" width="9.6640625" customWidth="1"/>
    <col min="4358" max="4358" width="8.6640625" customWidth="1"/>
    <col min="4364" max="4364" width="9" customWidth="1"/>
    <col min="4613" max="4613" width="9.6640625" customWidth="1"/>
    <col min="4614" max="4614" width="8.6640625" customWidth="1"/>
    <col min="4620" max="4620" width="9" customWidth="1"/>
    <col min="4869" max="4869" width="9.6640625" customWidth="1"/>
    <col min="4870" max="4870" width="8.6640625" customWidth="1"/>
    <col min="4876" max="4876" width="9" customWidth="1"/>
    <col min="5125" max="5125" width="9.6640625" customWidth="1"/>
    <col min="5126" max="5126" width="8.6640625" customWidth="1"/>
    <col min="5132" max="5132" width="9" customWidth="1"/>
    <col min="5381" max="5381" width="9.6640625" customWidth="1"/>
    <col min="5382" max="5382" width="8.6640625" customWidth="1"/>
    <col min="5388" max="5388" width="9" customWidth="1"/>
    <col min="5637" max="5637" width="9.6640625" customWidth="1"/>
    <col min="5638" max="5638" width="8.6640625" customWidth="1"/>
    <col min="5644" max="5644" width="9" customWidth="1"/>
    <col min="5893" max="5893" width="9.6640625" customWidth="1"/>
    <col min="5894" max="5894" width="8.6640625" customWidth="1"/>
    <col min="5900" max="5900" width="9" customWidth="1"/>
    <col min="6149" max="6149" width="9.6640625" customWidth="1"/>
    <col min="6150" max="6150" width="8.6640625" customWidth="1"/>
    <col min="6156" max="6156" width="9" customWidth="1"/>
    <col min="6405" max="6405" width="9.6640625" customWidth="1"/>
    <col min="6406" max="6406" width="8.6640625" customWidth="1"/>
    <col min="6412" max="6412" width="9" customWidth="1"/>
    <col min="6661" max="6661" width="9.6640625" customWidth="1"/>
    <col min="6662" max="6662" width="8.6640625" customWidth="1"/>
    <col min="6668" max="6668" width="9" customWidth="1"/>
    <col min="6917" max="6917" width="9.6640625" customWidth="1"/>
    <col min="6918" max="6918" width="8.6640625" customWidth="1"/>
    <col min="6924" max="6924" width="9" customWidth="1"/>
    <col min="7173" max="7173" width="9.6640625" customWidth="1"/>
    <col min="7174" max="7174" width="8.6640625" customWidth="1"/>
    <col min="7180" max="7180" width="9" customWidth="1"/>
    <col min="7429" max="7429" width="9.6640625" customWidth="1"/>
    <col min="7430" max="7430" width="8.6640625" customWidth="1"/>
    <col min="7436" max="7436" width="9" customWidth="1"/>
    <col min="7685" max="7685" width="9.6640625" customWidth="1"/>
    <col min="7686" max="7686" width="8.6640625" customWidth="1"/>
    <col min="7692" max="7692" width="9" customWidth="1"/>
    <col min="7941" max="7941" width="9.6640625" customWidth="1"/>
    <col min="7942" max="7942" width="8.6640625" customWidth="1"/>
    <col min="7948" max="7948" width="9" customWidth="1"/>
    <col min="8197" max="8197" width="9.6640625" customWidth="1"/>
    <col min="8198" max="8198" width="8.6640625" customWidth="1"/>
    <col min="8204" max="8204" width="9" customWidth="1"/>
    <col min="8453" max="8453" width="9.6640625" customWidth="1"/>
    <col min="8454" max="8454" width="8.6640625" customWidth="1"/>
    <col min="8460" max="8460" width="9" customWidth="1"/>
    <col min="8709" max="8709" width="9.6640625" customWidth="1"/>
    <col min="8710" max="8710" width="8.6640625" customWidth="1"/>
    <col min="8716" max="8716" width="9" customWidth="1"/>
    <col min="8965" max="8965" width="9.6640625" customWidth="1"/>
    <col min="8966" max="8966" width="8.6640625" customWidth="1"/>
    <col min="8972" max="8972" width="9" customWidth="1"/>
    <col min="9221" max="9221" width="9.6640625" customWidth="1"/>
    <col min="9222" max="9222" width="8.6640625" customWidth="1"/>
    <col min="9228" max="9228" width="9" customWidth="1"/>
    <col min="9477" max="9477" width="9.6640625" customWidth="1"/>
    <col min="9478" max="9478" width="8.6640625" customWidth="1"/>
    <col min="9484" max="9484" width="9" customWidth="1"/>
    <col min="9733" max="9733" width="9.6640625" customWidth="1"/>
    <col min="9734" max="9734" width="8.6640625" customWidth="1"/>
    <col min="9740" max="9740" width="9" customWidth="1"/>
    <col min="9989" max="9989" width="9.6640625" customWidth="1"/>
    <col min="9990" max="9990" width="8.6640625" customWidth="1"/>
    <col min="9996" max="9996" width="9" customWidth="1"/>
    <col min="10245" max="10245" width="9.6640625" customWidth="1"/>
    <col min="10246" max="10246" width="8.6640625" customWidth="1"/>
    <col min="10252" max="10252" width="9" customWidth="1"/>
    <col min="10501" max="10501" width="9.6640625" customWidth="1"/>
    <col min="10502" max="10502" width="8.6640625" customWidth="1"/>
    <col min="10508" max="10508" width="9" customWidth="1"/>
    <col min="10757" max="10757" width="9.6640625" customWidth="1"/>
    <col min="10758" max="10758" width="8.6640625" customWidth="1"/>
    <col min="10764" max="10764" width="9" customWidth="1"/>
    <col min="11013" max="11013" width="9.6640625" customWidth="1"/>
    <col min="11014" max="11014" width="8.6640625" customWidth="1"/>
    <col min="11020" max="11020" width="9" customWidth="1"/>
    <col min="11269" max="11269" width="9.6640625" customWidth="1"/>
    <col min="11270" max="11270" width="8.6640625" customWidth="1"/>
    <col min="11276" max="11276" width="9" customWidth="1"/>
    <col min="11525" max="11525" width="9.6640625" customWidth="1"/>
    <col min="11526" max="11526" width="8.6640625" customWidth="1"/>
    <col min="11532" max="11532" width="9" customWidth="1"/>
    <col min="11781" max="11781" width="9.6640625" customWidth="1"/>
    <col min="11782" max="11782" width="8.6640625" customWidth="1"/>
    <col min="11788" max="11788" width="9" customWidth="1"/>
    <col min="12037" max="12037" width="9.6640625" customWidth="1"/>
    <col min="12038" max="12038" width="8.6640625" customWidth="1"/>
    <col min="12044" max="12044" width="9" customWidth="1"/>
    <col min="12293" max="12293" width="9.6640625" customWidth="1"/>
    <col min="12294" max="12294" width="8.6640625" customWidth="1"/>
    <col min="12300" max="12300" width="9" customWidth="1"/>
    <col min="12549" max="12549" width="9.6640625" customWidth="1"/>
    <col min="12550" max="12550" width="8.6640625" customWidth="1"/>
    <col min="12556" max="12556" width="9" customWidth="1"/>
    <col min="12805" max="12805" width="9.6640625" customWidth="1"/>
    <col min="12806" max="12806" width="8.6640625" customWidth="1"/>
    <col min="12812" max="12812" width="9" customWidth="1"/>
    <col min="13061" max="13061" width="9.6640625" customWidth="1"/>
    <col min="13062" max="13062" width="8.6640625" customWidth="1"/>
    <col min="13068" max="13068" width="9" customWidth="1"/>
    <col min="13317" max="13317" width="9.6640625" customWidth="1"/>
    <col min="13318" max="13318" width="8.6640625" customWidth="1"/>
    <col min="13324" max="13324" width="9" customWidth="1"/>
    <col min="13573" max="13573" width="9.6640625" customWidth="1"/>
    <col min="13574" max="13574" width="8.6640625" customWidth="1"/>
    <col min="13580" max="13580" width="9" customWidth="1"/>
    <col min="13829" max="13829" width="9.6640625" customWidth="1"/>
    <col min="13830" max="13830" width="8.6640625" customWidth="1"/>
    <col min="13836" max="13836" width="9" customWidth="1"/>
    <col min="14085" max="14085" width="9.6640625" customWidth="1"/>
    <col min="14086" max="14086" width="8.6640625" customWidth="1"/>
    <col min="14092" max="14092" width="9" customWidth="1"/>
    <col min="14341" max="14341" width="9.6640625" customWidth="1"/>
    <col min="14342" max="14342" width="8.6640625" customWidth="1"/>
    <col min="14348" max="14348" width="9" customWidth="1"/>
    <col min="14597" max="14597" width="9.6640625" customWidth="1"/>
    <col min="14598" max="14598" width="8.6640625" customWidth="1"/>
    <col min="14604" max="14604" width="9" customWidth="1"/>
    <col min="14853" max="14853" width="9.6640625" customWidth="1"/>
    <col min="14854" max="14854" width="8.6640625" customWidth="1"/>
    <col min="14860" max="14860" width="9" customWidth="1"/>
    <col min="15109" max="15109" width="9.6640625" customWidth="1"/>
    <col min="15110" max="15110" width="8.6640625" customWidth="1"/>
    <col min="15116" max="15116" width="9" customWidth="1"/>
    <col min="15365" max="15365" width="9.6640625" customWidth="1"/>
    <col min="15366" max="15366" width="8.6640625" customWidth="1"/>
    <col min="15372" max="15372" width="9" customWidth="1"/>
    <col min="15621" max="15621" width="9.6640625" customWidth="1"/>
    <col min="15622" max="15622" width="8.6640625" customWidth="1"/>
    <col min="15628" max="15628" width="9" customWidth="1"/>
    <col min="15877" max="15877" width="9.6640625" customWidth="1"/>
    <col min="15878" max="15878" width="8.6640625" customWidth="1"/>
    <col min="15884" max="15884" width="9" customWidth="1"/>
    <col min="16133" max="16133" width="9.6640625" customWidth="1"/>
    <col min="16134" max="16134" width="8.6640625" customWidth="1"/>
    <col min="16140" max="16140" width="9" customWidth="1"/>
  </cols>
  <sheetData>
    <row r="1" spans="1:12" ht="17.399999999999999">
      <c r="D1" s="43" t="str">
        <f>[6]step1!D1</f>
        <v>Nominal and Effective Interest</v>
      </c>
    </row>
    <row r="2" spans="1:12" ht="17.399999999999999">
      <c r="D2" s="43" t="str">
        <f>[6]step1!D2</f>
        <v>Investment problems</v>
      </c>
    </row>
    <row r="5" spans="1:12">
      <c r="B5" s="44" t="str">
        <f>[6]step1!B5</f>
        <v>You plan to invest money in a money market to save for the new boat you always</v>
      </c>
      <c r="C5" s="45"/>
      <c r="D5" s="45"/>
      <c r="E5" s="45"/>
      <c r="F5" s="45"/>
      <c r="G5" s="45"/>
      <c r="H5" s="45"/>
      <c r="I5" s="46"/>
    </row>
    <row r="6" spans="1:12">
      <c r="B6" s="47" t="str">
        <f>[6]step1!B6</f>
        <v>wanted but could never seem to afford.  The credit union account offers interest at</v>
      </c>
      <c r="C6" s="48"/>
      <c r="D6" s="48"/>
      <c r="E6" s="48"/>
      <c r="F6" s="48"/>
      <c r="G6" s="48"/>
      <c r="H6" s="49"/>
      <c r="I6" s="50"/>
    </row>
    <row r="7" spans="1:12">
      <c r="B7" s="47" t="str">
        <f>[6]step1!B7</f>
        <v>a effective 1.5% interest per quarter compounded monthly.</v>
      </c>
      <c r="C7" s="48"/>
      <c r="D7" s="48"/>
      <c r="E7" s="48"/>
      <c r="F7" s="48"/>
      <c r="G7" s="48"/>
      <c r="H7" s="48"/>
      <c r="I7" s="50"/>
      <c r="L7" s="84"/>
    </row>
    <row r="8" spans="1:12">
      <c r="B8" s="47" t="str">
        <f>[6]step1!B8</f>
        <v>If you invest $4000 now how much will you have in the account in 5 years?</v>
      </c>
      <c r="C8" s="48"/>
      <c r="D8" s="48"/>
      <c r="E8" s="48"/>
      <c r="F8" s="48"/>
      <c r="G8" s="48"/>
      <c r="H8" s="48"/>
      <c r="I8" s="50"/>
      <c r="L8" s="127"/>
    </row>
    <row r="9" spans="1:12">
      <c r="B9" s="51"/>
      <c r="C9" s="52"/>
      <c r="D9" s="52"/>
      <c r="E9" s="52"/>
      <c r="F9" s="52"/>
      <c r="G9" s="52"/>
      <c r="H9" s="52"/>
      <c r="I9" s="54"/>
      <c r="L9" s="132"/>
    </row>
    <row r="10" spans="1:12">
      <c r="F10" s="146"/>
      <c r="L10" s="84"/>
    </row>
    <row r="11" spans="1:12">
      <c r="L11" s="127"/>
    </row>
    <row r="12" spans="1:12" ht="15.6">
      <c r="A12" s="55" t="s">
        <v>97</v>
      </c>
      <c r="B12" s="56"/>
      <c r="C12" s="57"/>
      <c r="D12" s="57"/>
      <c r="E12" s="57"/>
      <c r="F12" s="57"/>
      <c r="G12" s="57"/>
      <c r="H12" s="57"/>
      <c r="I12" s="58"/>
    </row>
    <row r="13" spans="1:12" ht="15.6">
      <c r="A13" s="59"/>
      <c r="B13" s="60" t="s">
        <v>146</v>
      </c>
      <c r="I13" s="61"/>
    </row>
    <row r="14" spans="1:12">
      <c r="A14" s="62"/>
      <c r="B14" s="63"/>
      <c r="C14" s="63"/>
      <c r="D14" s="63"/>
      <c r="E14" s="63"/>
      <c r="F14" s="63"/>
      <c r="G14" s="63"/>
      <c r="H14" s="63"/>
      <c r="I14" s="64"/>
    </row>
    <row r="18" spans="2:12">
      <c r="F18" s="6"/>
      <c r="G18" s="130"/>
      <c r="H18" s="92"/>
    </row>
    <row r="19" spans="2:12">
      <c r="B19" s="147" t="s">
        <v>153</v>
      </c>
      <c r="C19" s="148"/>
      <c r="D19" s="149"/>
      <c r="E19" s="150"/>
      <c r="F19" s="93"/>
      <c r="G19" s="93"/>
      <c r="H19" s="70"/>
      <c r="I19" s="93"/>
      <c r="J19" s="93"/>
    </row>
    <row r="20" spans="2:12">
      <c r="B20" s="69" t="s">
        <v>154</v>
      </c>
      <c r="C20" s="93"/>
      <c r="D20" s="93"/>
      <c r="E20" s="151"/>
      <c r="F20" s="93"/>
      <c r="G20" s="152"/>
      <c r="H20" s="153"/>
      <c r="I20" s="93"/>
      <c r="J20" s="93"/>
      <c r="K20" s="132"/>
      <c r="L20" s="84"/>
    </row>
    <row r="21" spans="2:12">
      <c r="B21" s="69" t="s">
        <v>155</v>
      </c>
      <c r="C21" s="93"/>
      <c r="D21" s="152"/>
      <c r="E21" s="154"/>
      <c r="F21" s="93"/>
      <c r="G21" s="93"/>
      <c r="H21" s="70"/>
      <c r="I21" s="152"/>
      <c r="J21" s="93"/>
    </row>
    <row r="22" spans="2:12">
      <c r="B22" s="59"/>
      <c r="C22" s="93"/>
      <c r="D22" s="155"/>
      <c r="E22" s="154"/>
      <c r="F22" s="93"/>
      <c r="G22" s="152"/>
      <c r="H22" s="70"/>
      <c r="I22" s="93"/>
      <c r="J22" s="93"/>
    </row>
    <row r="23" spans="2:12">
      <c r="B23" s="139" t="s">
        <v>156</v>
      </c>
      <c r="C23" s="156"/>
      <c r="D23" s="157"/>
      <c r="E23" s="158">
        <f>[6]step2!E23</f>
        <v>1.4999999999999999E-2</v>
      </c>
      <c r="F23" s="93"/>
      <c r="G23" s="152"/>
      <c r="H23" s="70"/>
      <c r="I23" s="93"/>
      <c r="J23" s="93"/>
    </row>
    <row r="24" spans="2:12">
      <c r="B24" s="93"/>
      <c r="C24" s="93"/>
      <c r="D24" s="93"/>
      <c r="E24" s="152"/>
      <c r="F24" s="93"/>
      <c r="G24" s="93"/>
      <c r="H24" s="93"/>
      <c r="I24" s="93"/>
      <c r="J24" s="93"/>
    </row>
    <row r="25" spans="2:12">
      <c r="B25" s="93"/>
      <c r="C25" s="93"/>
      <c r="D25" s="152"/>
      <c r="E25" s="152"/>
      <c r="F25" s="93"/>
      <c r="G25" s="159"/>
      <c r="H25" s="93"/>
      <c r="I25" s="160"/>
      <c r="J25" s="93"/>
    </row>
    <row r="26" spans="2:12">
      <c r="B26" s="161" t="s">
        <v>157</v>
      </c>
      <c r="C26" s="148"/>
      <c r="D26" s="57"/>
      <c r="E26" s="162">
        <f>[6]step1!L7</f>
        <v>4000</v>
      </c>
      <c r="F26" s="93"/>
      <c r="G26" s="93"/>
      <c r="H26" s="93"/>
      <c r="I26" s="93"/>
      <c r="J26" s="93"/>
    </row>
    <row r="27" spans="2:12">
      <c r="B27" s="59" t="s">
        <v>158</v>
      </c>
      <c r="C27" s="93"/>
      <c r="E27" s="154">
        <f>[6]step1!L3*[6]step1!L8</f>
        <v>20</v>
      </c>
      <c r="F27" s="93"/>
      <c r="G27" s="93"/>
      <c r="H27" s="93"/>
      <c r="I27" s="93"/>
      <c r="J27" s="93"/>
    </row>
    <row r="28" spans="2:12">
      <c r="B28" s="59" t="s">
        <v>159</v>
      </c>
      <c r="E28" s="163">
        <f>[6]step2!E23</f>
        <v>1.4999999999999999E-2</v>
      </c>
      <c r="F28" s="93"/>
      <c r="G28" s="93"/>
      <c r="H28" s="93"/>
      <c r="I28" s="93"/>
      <c r="J28" s="93"/>
    </row>
    <row r="29" spans="2:12">
      <c r="B29" s="59"/>
      <c r="E29" s="61"/>
      <c r="F29" s="93"/>
      <c r="G29" s="164"/>
      <c r="H29" s="93"/>
      <c r="I29" s="93"/>
      <c r="J29" s="93"/>
    </row>
    <row r="30" spans="2:12">
      <c r="B30" s="139" t="s">
        <v>160</v>
      </c>
      <c r="C30" s="165"/>
      <c r="D30" s="63"/>
      <c r="E30" s="166">
        <f>FV(E28,E27,,-E26)</f>
        <v>5387.4200262002087</v>
      </c>
      <c r="F30" s="167" t="s">
        <v>161</v>
      </c>
      <c r="G30" s="93"/>
      <c r="H30" s="93"/>
      <c r="I30" s="93"/>
      <c r="J30" s="93"/>
    </row>
    <row r="31" spans="2:12">
      <c r="B31" s="93"/>
      <c r="C31" s="93"/>
      <c r="D31" s="93"/>
      <c r="E31" s="152"/>
      <c r="F31" s="93"/>
      <c r="G31" s="159"/>
      <c r="H31" s="93"/>
      <c r="I31" s="93"/>
      <c r="J31" s="93"/>
    </row>
    <row r="32" spans="2:12">
      <c r="B32" s="93"/>
      <c r="C32" s="164"/>
      <c r="D32" s="93"/>
      <c r="E32" s="152"/>
      <c r="F32" s="93"/>
      <c r="G32" s="93"/>
      <c r="H32" s="93"/>
      <c r="I32" s="93"/>
      <c r="J32" s="93"/>
    </row>
    <row r="33" spans="2:10" ht="17.399999999999999">
      <c r="B33" s="25" t="s">
        <v>117</v>
      </c>
      <c r="C33" s="164"/>
      <c r="D33" s="93"/>
      <c r="E33" s="152"/>
      <c r="F33" s="93"/>
      <c r="G33" s="160"/>
      <c r="H33" s="168"/>
      <c r="I33" s="93"/>
      <c r="J33" s="93"/>
    </row>
    <row r="34" spans="2:10">
      <c r="B34" s="93"/>
      <c r="C34" s="164"/>
      <c r="D34" s="93"/>
      <c r="E34" s="152"/>
      <c r="F34" s="93"/>
      <c r="G34" s="93"/>
      <c r="H34" s="93"/>
      <c r="I34" s="93"/>
      <c r="J34" s="93"/>
    </row>
    <row r="35" spans="2:10">
      <c r="B35" s="93"/>
      <c r="C35" s="164"/>
      <c r="D35" s="93"/>
      <c r="E35" s="152"/>
      <c r="F35" s="93"/>
      <c r="G35" s="93"/>
      <c r="H35" s="93"/>
      <c r="I35" s="93"/>
      <c r="J35" s="93"/>
    </row>
    <row r="36" spans="2:10">
      <c r="C36" s="74"/>
    </row>
    <row r="37" spans="2:10">
      <c r="C37" s="74"/>
    </row>
    <row r="38" spans="2:10">
      <c r="C38" s="74"/>
    </row>
    <row r="39" spans="2:10">
      <c r="C39" s="74"/>
    </row>
    <row r="40" spans="2:10">
      <c r="C40" s="74"/>
    </row>
    <row r="41" spans="2:10">
      <c r="C41" s="74"/>
    </row>
    <row r="42" spans="2:10">
      <c r="C42" s="74"/>
    </row>
    <row r="43" spans="2:10">
      <c r="D43" s="7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6B88C-46B8-40A7-9933-387B6C8EC510}">
  <dimension ref="A1:L91"/>
  <sheetViews>
    <sheetView topLeftCell="A23" workbookViewId="0">
      <selection sqref="A1:XFD1048576"/>
    </sheetView>
  </sheetViews>
  <sheetFormatPr defaultRowHeight="14.4"/>
  <cols>
    <col min="2" max="2" width="10.6640625" customWidth="1"/>
    <col min="3" max="3" width="10.109375" bestFit="1" customWidth="1"/>
    <col min="5" max="5" width="11.109375" customWidth="1"/>
    <col min="6" max="7" width="10.6640625" customWidth="1"/>
    <col min="9" max="9" width="4.6640625" customWidth="1"/>
    <col min="10" max="10" width="10.6640625" customWidth="1"/>
    <col min="12" max="12" width="10.6640625" customWidth="1"/>
    <col min="258" max="258" width="10.6640625" customWidth="1"/>
    <col min="259" max="259" width="10.109375" bestFit="1" customWidth="1"/>
    <col min="261" max="261" width="11.109375" customWidth="1"/>
    <col min="262" max="263" width="10.6640625" customWidth="1"/>
    <col min="265" max="265" width="4.6640625" customWidth="1"/>
    <col min="266" max="266" width="10.6640625" customWidth="1"/>
    <col min="268" max="268" width="10.6640625" customWidth="1"/>
    <col min="514" max="514" width="10.6640625" customWidth="1"/>
    <col min="515" max="515" width="10.109375" bestFit="1" customWidth="1"/>
    <col min="517" max="517" width="11.109375" customWidth="1"/>
    <col min="518" max="519" width="10.6640625" customWidth="1"/>
    <col min="521" max="521" width="4.6640625" customWidth="1"/>
    <col min="522" max="522" width="10.6640625" customWidth="1"/>
    <col min="524" max="524" width="10.6640625" customWidth="1"/>
    <col min="770" max="770" width="10.6640625" customWidth="1"/>
    <col min="771" max="771" width="10.109375" bestFit="1" customWidth="1"/>
    <col min="773" max="773" width="11.109375" customWidth="1"/>
    <col min="774" max="775" width="10.6640625" customWidth="1"/>
    <col min="777" max="777" width="4.6640625" customWidth="1"/>
    <col min="778" max="778" width="10.6640625" customWidth="1"/>
    <col min="780" max="780" width="10.6640625" customWidth="1"/>
    <col min="1026" max="1026" width="10.6640625" customWidth="1"/>
    <col min="1027" max="1027" width="10.109375" bestFit="1" customWidth="1"/>
    <col min="1029" max="1029" width="11.109375" customWidth="1"/>
    <col min="1030" max="1031" width="10.6640625" customWidth="1"/>
    <col min="1033" max="1033" width="4.6640625" customWidth="1"/>
    <col min="1034" max="1034" width="10.6640625" customWidth="1"/>
    <col min="1036" max="1036" width="10.6640625" customWidth="1"/>
    <col min="1282" max="1282" width="10.6640625" customWidth="1"/>
    <col min="1283" max="1283" width="10.109375" bestFit="1" customWidth="1"/>
    <col min="1285" max="1285" width="11.109375" customWidth="1"/>
    <col min="1286" max="1287" width="10.6640625" customWidth="1"/>
    <col min="1289" max="1289" width="4.6640625" customWidth="1"/>
    <col min="1290" max="1290" width="10.6640625" customWidth="1"/>
    <col min="1292" max="1292" width="10.6640625" customWidth="1"/>
    <col min="1538" max="1538" width="10.6640625" customWidth="1"/>
    <col min="1539" max="1539" width="10.109375" bestFit="1" customWidth="1"/>
    <col min="1541" max="1541" width="11.109375" customWidth="1"/>
    <col min="1542" max="1543" width="10.6640625" customWidth="1"/>
    <col min="1545" max="1545" width="4.6640625" customWidth="1"/>
    <col min="1546" max="1546" width="10.6640625" customWidth="1"/>
    <col min="1548" max="1548" width="10.6640625" customWidth="1"/>
    <col min="1794" max="1794" width="10.6640625" customWidth="1"/>
    <col min="1795" max="1795" width="10.109375" bestFit="1" customWidth="1"/>
    <col min="1797" max="1797" width="11.109375" customWidth="1"/>
    <col min="1798" max="1799" width="10.6640625" customWidth="1"/>
    <col min="1801" max="1801" width="4.6640625" customWidth="1"/>
    <col min="1802" max="1802" width="10.6640625" customWidth="1"/>
    <col min="1804" max="1804" width="10.6640625" customWidth="1"/>
    <col min="2050" max="2050" width="10.6640625" customWidth="1"/>
    <col min="2051" max="2051" width="10.109375" bestFit="1" customWidth="1"/>
    <col min="2053" max="2053" width="11.109375" customWidth="1"/>
    <col min="2054" max="2055" width="10.6640625" customWidth="1"/>
    <col min="2057" max="2057" width="4.6640625" customWidth="1"/>
    <col min="2058" max="2058" width="10.6640625" customWidth="1"/>
    <col min="2060" max="2060" width="10.6640625" customWidth="1"/>
    <col min="2306" max="2306" width="10.6640625" customWidth="1"/>
    <col min="2307" max="2307" width="10.109375" bestFit="1" customWidth="1"/>
    <col min="2309" max="2309" width="11.109375" customWidth="1"/>
    <col min="2310" max="2311" width="10.6640625" customWidth="1"/>
    <col min="2313" max="2313" width="4.6640625" customWidth="1"/>
    <col min="2314" max="2314" width="10.6640625" customWidth="1"/>
    <col min="2316" max="2316" width="10.6640625" customWidth="1"/>
    <col min="2562" max="2562" width="10.6640625" customWidth="1"/>
    <col min="2563" max="2563" width="10.109375" bestFit="1" customWidth="1"/>
    <col min="2565" max="2565" width="11.109375" customWidth="1"/>
    <col min="2566" max="2567" width="10.6640625" customWidth="1"/>
    <col min="2569" max="2569" width="4.6640625" customWidth="1"/>
    <col min="2570" max="2570" width="10.6640625" customWidth="1"/>
    <col min="2572" max="2572" width="10.6640625" customWidth="1"/>
    <col min="2818" max="2818" width="10.6640625" customWidth="1"/>
    <col min="2819" max="2819" width="10.109375" bestFit="1" customWidth="1"/>
    <col min="2821" max="2821" width="11.109375" customWidth="1"/>
    <col min="2822" max="2823" width="10.6640625" customWidth="1"/>
    <col min="2825" max="2825" width="4.6640625" customWidth="1"/>
    <col min="2826" max="2826" width="10.6640625" customWidth="1"/>
    <col min="2828" max="2828" width="10.6640625" customWidth="1"/>
    <col min="3074" max="3074" width="10.6640625" customWidth="1"/>
    <col min="3075" max="3075" width="10.109375" bestFit="1" customWidth="1"/>
    <col min="3077" max="3077" width="11.109375" customWidth="1"/>
    <col min="3078" max="3079" width="10.6640625" customWidth="1"/>
    <col min="3081" max="3081" width="4.6640625" customWidth="1"/>
    <col min="3082" max="3082" width="10.6640625" customWidth="1"/>
    <col min="3084" max="3084" width="10.6640625" customWidth="1"/>
    <col min="3330" max="3330" width="10.6640625" customWidth="1"/>
    <col min="3331" max="3331" width="10.109375" bestFit="1" customWidth="1"/>
    <col min="3333" max="3333" width="11.109375" customWidth="1"/>
    <col min="3334" max="3335" width="10.6640625" customWidth="1"/>
    <col min="3337" max="3337" width="4.6640625" customWidth="1"/>
    <col min="3338" max="3338" width="10.6640625" customWidth="1"/>
    <col min="3340" max="3340" width="10.6640625" customWidth="1"/>
    <col min="3586" max="3586" width="10.6640625" customWidth="1"/>
    <col min="3587" max="3587" width="10.109375" bestFit="1" customWidth="1"/>
    <col min="3589" max="3589" width="11.109375" customWidth="1"/>
    <col min="3590" max="3591" width="10.6640625" customWidth="1"/>
    <col min="3593" max="3593" width="4.6640625" customWidth="1"/>
    <col min="3594" max="3594" width="10.6640625" customWidth="1"/>
    <col min="3596" max="3596" width="10.6640625" customWidth="1"/>
    <col min="3842" max="3842" width="10.6640625" customWidth="1"/>
    <col min="3843" max="3843" width="10.109375" bestFit="1" customWidth="1"/>
    <col min="3845" max="3845" width="11.109375" customWidth="1"/>
    <col min="3846" max="3847" width="10.6640625" customWidth="1"/>
    <col min="3849" max="3849" width="4.6640625" customWidth="1"/>
    <col min="3850" max="3850" width="10.6640625" customWidth="1"/>
    <col min="3852" max="3852" width="10.6640625" customWidth="1"/>
    <col min="4098" max="4098" width="10.6640625" customWidth="1"/>
    <col min="4099" max="4099" width="10.109375" bestFit="1" customWidth="1"/>
    <col min="4101" max="4101" width="11.109375" customWidth="1"/>
    <col min="4102" max="4103" width="10.6640625" customWidth="1"/>
    <col min="4105" max="4105" width="4.6640625" customWidth="1"/>
    <col min="4106" max="4106" width="10.6640625" customWidth="1"/>
    <col min="4108" max="4108" width="10.6640625" customWidth="1"/>
    <col min="4354" max="4354" width="10.6640625" customWidth="1"/>
    <col min="4355" max="4355" width="10.109375" bestFit="1" customWidth="1"/>
    <col min="4357" max="4357" width="11.109375" customWidth="1"/>
    <col min="4358" max="4359" width="10.6640625" customWidth="1"/>
    <col min="4361" max="4361" width="4.6640625" customWidth="1"/>
    <col min="4362" max="4362" width="10.6640625" customWidth="1"/>
    <col min="4364" max="4364" width="10.6640625" customWidth="1"/>
    <col min="4610" max="4610" width="10.6640625" customWidth="1"/>
    <col min="4611" max="4611" width="10.109375" bestFit="1" customWidth="1"/>
    <col min="4613" max="4613" width="11.109375" customWidth="1"/>
    <col min="4614" max="4615" width="10.6640625" customWidth="1"/>
    <col min="4617" max="4617" width="4.6640625" customWidth="1"/>
    <col min="4618" max="4618" width="10.6640625" customWidth="1"/>
    <col min="4620" max="4620" width="10.6640625" customWidth="1"/>
    <col min="4866" max="4866" width="10.6640625" customWidth="1"/>
    <col min="4867" max="4867" width="10.109375" bestFit="1" customWidth="1"/>
    <col min="4869" max="4869" width="11.109375" customWidth="1"/>
    <col min="4870" max="4871" width="10.6640625" customWidth="1"/>
    <col min="4873" max="4873" width="4.6640625" customWidth="1"/>
    <col min="4874" max="4874" width="10.6640625" customWidth="1"/>
    <col min="4876" max="4876" width="10.6640625" customWidth="1"/>
    <col min="5122" max="5122" width="10.6640625" customWidth="1"/>
    <col min="5123" max="5123" width="10.109375" bestFit="1" customWidth="1"/>
    <col min="5125" max="5125" width="11.109375" customWidth="1"/>
    <col min="5126" max="5127" width="10.6640625" customWidth="1"/>
    <col min="5129" max="5129" width="4.6640625" customWidth="1"/>
    <col min="5130" max="5130" width="10.6640625" customWidth="1"/>
    <col min="5132" max="5132" width="10.6640625" customWidth="1"/>
    <col min="5378" max="5378" width="10.6640625" customWidth="1"/>
    <col min="5379" max="5379" width="10.109375" bestFit="1" customWidth="1"/>
    <col min="5381" max="5381" width="11.109375" customWidth="1"/>
    <col min="5382" max="5383" width="10.6640625" customWidth="1"/>
    <col min="5385" max="5385" width="4.6640625" customWidth="1"/>
    <col min="5386" max="5386" width="10.6640625" customWidth="1"/>
    <col min="5388" max="5388" width="10.6640625" customWidth="1"/>
    <col min="5634" max="5634" width="10.6640625" customWidth="1"/>
    <col min="5635" max="5635" width="10.109375" bestFit="1" customWidth="1"/>
    <col min="5637" max="5637" width="11.109375" customWidth="1"/>
    <col min="5638" max="5639" width="10.6640625" customWidth="1"/>
    <col min="5641" max="5641" width="4.6640625" customWidth="1"/>
    <col min="5642" max="5642" width="10.6640625" customWidth="1"/>
    <col min="5644" max="5644" width="10.6640625" customWidth="1"/>
    <col min="5890" max="5890" width="10.6640625" customWidth="1"/>
    <col min="5891" max="5891" width="10.109375" bestFit="1" customWidth="1"/>
    <col min="5893" max="5893" width="11.109375" customWidth="1"/>
    <col min="5894" max="5895" width="10.6640625" customWidth="1"/>
    <col min="5897" max="5897" width="4.6640625" customWidth="1"/>
    <col min="5898" max="5898" width="10.6640625" customWidth="1"/>
    <col min="5900" max="5900" width="10.6640625" customWidth="1"/>
    <col min="6146" max="6146" width="10.6640625" customWidth="1"/>
    <col min="6147" max="6147" width="10.109375" bestFit="1" customWidth="1"/>
    <col min="6149" max="6149" width="11.109375" customWidth="1"/>
    <col min="6150" max="6151" width="10.6640625" customWidth="1"/>
    <col min="6153" max="6153" width="4.6640625" customWidth="1"/>
    <col min="6154" max="6154" width="10.6640625" customWidth="1"/>
    <col min="6156" max="6156" width="10.6640625" customWidth="1"/>
    <col min="6402" max="6402" width="10.6640625" customWidth="1"/>
    <col min="6403" max="6403" width="10.109375" bestFit="1" customWidth="1"/>
    <col min="6405" max="6405" width="11.109375" customWidth="1"/>
    <col min="6406" max="6407" width="10.6640625" customWidth="1"/>
    <col min="6409" max="6409" width="4.6640625" customWidth="1"/>
    <col min="6410" max="6410" width="10.6640625" customWidth="1"/>
    <col min="6412" max="6412" width="10.6640625" customWidth="1"/>
    <col min="6658" max="6658" width="10.6640625" customWidth="1"/>
    <col min="6659" max="6659" width="10.109375" bestFit="1" customWidth="1"/>
    <col min="6661" max="6661" width="11.109375" customWidth="1"/>
    <col min="6662" max="6663" width="10.6640625" customWidth="1"/>
    <col min="6665" max="6665" width="4.6640625" customWidth="1"/>
    <col min="6666" max="6666" width="10.6640625" customWidth="1"/>
    <col min="6668" max="6668" width="10.6640625" customWidth="1"/>
    <col min="6914" max="6914" width="10.6640625" customWidth="1"/>
    <col min="6915" max="6915" width="10.109375" bestFit="1" customWidth="1"/>
    <col min="6917" max="6917" width="11.109375" customWidth="1"/>
    <col min="6918" max="6919" width="10.6640625" customWidth="1"/>
    <col min="6921" max="6921" width="4.6640625" customWidth="1"/>
    <col min="6922" max="6922" width="10.6640625" customWidth="1"/>
    <col min="6924" max="6924" width="10.6640625" customWidth="1"/>
    <col min="7170" max="7170" width="10.6640625" customWidth="1"/>
    <col min="7171" max="7171" width="10.109375" bestFit="1" customWidth="1"/>
    <col min="7173" max="7173" width="11.109375" customWidth="1"/>
    <col min="7174" max="7175" width="10.6640625" customWidth="1"/>
    <col min="7177" max="7177" width="4.6640625" customWidth="1"/>
    <col min="7178" max="7178" width="10.6640625" customWidth="1"/>
    <col min="7180" max="7180" width="10.6640625" customWidth="1"/>
    <col min="7426" max="7426" width="10.6640625" customWidth="1"/>
    <col min="7427" max="7427" width="10.109375" bestFit="1" customWidth="1"/>
    <col min="7429" max="7429" width="11.109375" customWidth="1"/>
    <col min="7430" max="7431" width="10.6640625" customWidth="1"/>
    <col min="7433" max="7433" width="4.6640625" customWidth="1"/>
    <col min="7434" max="7434" width="10.6640625" customWidth="1"/>
    <col min="7436" max="7436" width="10.6640625" customWidth="1"/>
    <col min="7682" max="7682" width="10.6640625" customWidth="1"/>
    <col min="7683" max="7683" width="10.109375" bestFit="1" customWidth="1"/>
    <col min="7685" max="7685" width="11.109375" customWidth="1"/>
    <col min="7686" max="7687" width="10.6640625" customWidth="1"/>
    <col min="7689" max="7689" width="4.6640625" customWidth="1"/>
    <col min="7690" max="7690" width="10.6640625" customWidth="1"/>
    <col min="7692" max="7692" width="10.6640625" customWidth="1"/>
    <col min="7938" max="7938" width="10.6640625" customWidth="1"/>
    <col min="7939" max="7939" width="10.109375" bestFit="1" customWidth="1"/>
    <col min="7941" max="7941" width="11.109375" customWidth="1"/>
    <col min="7942" max="7943" width="10.6640625" customWidth="1"/>
    <col min="7945" max="7945" width="4.6640625" customWidth="1"/>
    <col min="7946" max="7946" width="10.6640625" customWidth="1"/>
    <col min="7948" max="7948" width="10.6640625" customWidth="1"/>
    <col min="8194" max="8194" width="10.6640625" customWidth="1"/>
    <col min="8195" max="8195" width="10.109375" bestFit="1" customWidth="1"/>
    <col min="8197" max="8197" width="11.109375" customWidth="1"/>
    <col min="8198" max="8199" width="10.6640625" customWidth="1"/>
    <col min="8201" max="8201" width="4.6640625" customWidth="1"/>
    <col min="8202" max="8202" width="10.6640625" customWidth="1"/>
    <col min="8204" max="8204" width="10.6640625" customWidth="1"/>
    <col min="8450" max="8450" width="10.6640625" customWidth="1"/>
    <col min="8451" max="8451" width="10.109375" bestFit="1" customWidth="1"/>
    <col min="8453" max="8453" width="11.109375" customWidth="1"/>
    <col min="8454" max="8455" width="10.6640625" customWidth="1"/>
    <col min="8457" max="8457" width="4.6640625" customWidth="1"/>
    <col min="8458" max="8458" width="10.6640625" customWidth="1"/>
    <col min="8460" max="8460" width="10.6640625" customWidth="1"/>
    <col min="8706" max="8706" width="10.6640625" customWidth="1"/>
    <col min="8707" max="8707" width="10.109375" bestFit="1" customWidth="1"/>
    <col min="8709" max="8709" width="11.109375" customWidth="1"/>
    <col min="8710" max="8711" width="10.6640625" customWidth="1"/>
    <col min="8713" max="8713" width="4.6640625" customWidth="1"/>
    <col min="8714" max="8714" width="10.6640625" customWidth="1"/>
    <col min="8716" max="8716" width="10.6640625" customWidth="1"/>
    <col min="8962" max="8962" width="10.6640625" customWidth="1"/>
    <col min="8963" max="8963" width="10.109375" bestFit="1" customWidth="1"/>
    <col min="8965" max="8965" width="11.109375" customWidth="1"/>
    <col min="8966" max="8967" width="10.6640625" customWidth="1"/>
    <col min="8969" max="8969" width="4.6640625" customWidth="1"/>
    <col min="8970" max="8970" width="10.6640625" customWidth="1"/>
    <col min="8972" max="8972" width="10.6640625" customWidth="1"/>
    <col min="9218" max="9218" width="10.6640625" customWidth="1"/>
    <col min="9219" max="9219" width="10.109375" bestFit="1" customWidth="1"/>
    <col min="9221" max="9221" width="11.109375" customWidth="1"/>
    <col min="9222" max="9223" width="10.6640625" customWidth="1"/>
    <col min="9225" max="9225" width="4.6640625" customWidth="1"/>
    <col min="9226" max="9226" width="10.6640625" customWidth="1"/>
    <col min="9228" max="9228" width="10.6640625" customWidth="1"/>
    <col min="9474" max="9474" width="10.6640625" customWidth="1"/>
    <col min="9475" max="9475" width="10.109375" bestFit="1" customWidth="1"/>
    <col min="9477" max="9477" width="11.109375" customWidth="1"/>
    <col min="9478" max="9479" width="10.6640625" customWidth="1"/>
    <col min="9481" max="9481" width="4.6640625" customWidth="1"/>
    <col min="9482" max="9482" width="10.6640625" customWidth="1"/>
    <col min="9484" max="9484" width="10.6640625" customWidth="1"/>
    <col min="9730" max="9730" width="10.6640625" customWidth="1"/>
    <col min="9731" max="9731" width="10.109375" bestFit="1" customWidth="1"/>
    <col min="9733" max="9733" width="11.109375" customWidth="1"/>
    <col min="9734" max="9735" width="10.6640625" customWidth="1"/>
    <col min="9737" max="9737" width="4.6640625" customWidth="1"/>
    <col min="9738" max="9738" width="10.6640625" customWidth="1"/>
    <col min="9740" max="9740" width="10.6640625" customWidth="1"/>
    <col min="9986" max="9986" width="10.6640625" customWidth="1"/>
    <col min="9987" max="9987" width="10.109375" bestFit="1" customWidth="1"/>
    <col min="9989" max="9989" width="11.109375" customWidth="1"/>
    <col min="9990" max="9991" width="10.6640625" customWidth="1"/>
    <col min="9993" max="9993" width="4.6640625" customWidth="1"/>
    <col min="9994" max="9994" width="10.6640625" customWidth="1"/>
    <col min="9996" max="9996" width="10.6640625" customWidth="1"/>
    <col min="10242" max="10242" width="10.6640625" customWidth="1"/>
    <col min="10243" max="10243" width="10.109375" bestFit="1" customWidth="1"/>
    <col min="10245" max="10245" width="11.109375" customWidth="1"/>
    <col min="10246" max="10247" width="10.6640625" customWidth="1"/>
    <col min="10249" max="10249" width="4.6640625" customWidth="1"/>
    <col min="10250" max="10250" width="10.6640625" customWidth="1"/>
    <col min="10252" max="10252" width="10.6640625" customWidth="1"/>
    <col min="10498" max="10498" width="10.6640625" customWidth="1"/>
    <col min="10499" max="10499" width="10.109375" bestFit="1" customWidth="1"/>
    <col min="10501" max="10501" width="11.109375" customWidth="1"/>
    <col min="10502" max="10503" width="10.6640625" customWidth="1"/>
    <col min="10505" max="10505" width="4.6640625" customWidth="1"/>
    <col min="10506" max="10506" width="10.6640625" customWidth="1"/>
    <col min="10508" max="10508" width="10.6640625" customWidth="1"/>
    <col min="10754" max="10754" width="10.6640625" customWidth="1"/>
    <col min="10755" max="10755" width="10.109375" bestFit="1" customWidth="1"/>
    <col min="10757" max="10757" width="11.109375" customWidth="1"/>
    <col min="10758" max="10759" width="10.6640625" customWidth="1"/>
    <col min="10761" max="10761" width="4.6640625" customWidth="1"/>
    <col min="10762" max="10762" width="10.6640625" customWidth="1"/>
    <col min="10764" max="10764" width="10.6640625" customWidth="1"/>
    <col min="11010" max="11010" width="10.6640625" customWidth="1"/>
    <col min="11011" max="11011" width="10.109375" bestFit="1" customWidth="1"/>
    <col min="11013" max="11013" width="11.109375" customWidth="1"/>
    <col min="11014" max="11015" width="10.6640625" customWidth="1"/>
    <col min="11017" max="11017" width="4.6640625" customWidth="1"/>
    <col min="11018" max="11018" width="10.6640625" customWidth="1"/>
    <col min="11020" max="11020" width="10.6640625" customWidth="1"/>
    <col min="11266" max="11266" width="10.6640625" customWidth="1"/>
    <col min="11267" max="11267" width="10.109375" bestFit="1" customWidth="1"/>
    <col min="11269" max="11269" width="11.109375" customWidth="1"/>
    <col min="11270" max="11271" width="10.6640625" customWidth="1"/>
    <col min="11273" max="11273" width="4.6640625" customWidth="1"/>
    <col min="11274" max="11274" width="10.6640625" customWidth="1"/>
    <col min="11276" max="11276" width="10.6640625" customWidth="1"/>
    <col min="11522" max="11522" width="10.6640625" customWidth="1"/>
    <col min="11523" max="11523" width="10.109375" bestFit="1" customWidth="1"/>
    <col min="11525" max="11525" width="11.109375" customWidth="1"/>
    <col min="11526" max="11527" width="10.6640625" customWidth="1"/>
    <col min="11529" max="11529" width="4.6640625" customWidth="1"/>
    <col min="11530" max="11530" width="10.6640625" customWidth="1"/>
    <col min="11532" max="11532" width="10.6640625" customWidth="1"/>
    <col min="11778" max="11778" width="10.6640625" customWidth="1"/>
    <col min="11779" max="11779" width="10.109375" bestFit="1" customWidth="1"/>
    <col min="11781" max="11781" width="11.109375" customWidth="1"/>
    <col min="11782" max="11783" width="10.6640625" customWidth="1"/>
    <col min="11785" max="11785" width="4.6640625" customWidth="1"/>
    <col min="11786" max="11786" width="10.6640625" customWidth="1"/>
    <col min="11788" max="11788" width="10.6640625" customWidth="1"/>
    <col min="12034" max="12034" width="10.6640625" customWidth="1"/>
    <col min="12035" max="12035" width="10.109375" bestFit="1" customWidth="1"/>
    <col min="12037" max="12037" width="11.109375" customWidth="1"/>
    <col min="12038" max="12039" width="10.6640625" customWidth="1"/>
    <col min="12041" max="12041" width="4.6640625" customWidth="1"/>
    <col min="12042" max="12042" width="10.6640625" customWidth="1"/>
    <col min="12044" max="12044" width="10.6640625" customWidth="1"/>
    <col min="12290" max="12290" width="10.6640625" customWidth="1"/>
    <col min="12291" max="12291" width="10.109375" bestFit="1" customWidth="1"/>
    <col min="12293" max="12293" width="11.109375" customWidth="1"/>
    <col min="12294" max="12295" width="10.6640625" customWidth="1"/>
    <col min="12297" max="12297" width="4.6640625" customWidth="1"/>
    <col min="12298" max="12298" width="10.6640625" customWidth="1"/>
    <col min="12300" max="12300" width="10.6640625" customWidth="1"/>
    <col min="12546" max="12546" width="10.6640625" customWidth="1"/>
    <col min="12547" max="12547" width="10.109375" bestFit="1" customWidth="1"/>
    <col min="12549" max="12549" width="11.109375" customWidth="1"/>
    <col min="12550" max="12551" width="10.6640625" customWidth="1"/>
    <col min="12553" max="12553" width="4.6640625" customWidth="1"/>
    <col min="12554" max="12554" width="10.6640625" customWidth="1"/>
    <col min="12556" max="12556" width="10.6640625" customWidth="1"/>
    <col min="12802" max="12802" width="10.6640625" customWidth="1"/>
    <col min="12803" max="12803" width="10.109375" bestFit="1" customWidth="1"/>
    <col min="12805" max="12805" width="11.109375" customWidth="1"/>
    <col min="12806" max="12807" width="10.6640625" customWidth="1"/>
    <col min="12809" max="12809" width="4.6640625" customWidth="1"/>
    <col min="12810" max="12810" width="10.6640625" customWidth="1"/>
    <col min="12812" max="12812" width="10.6640625" customWidth="1"/>
    <col min="13058" max="13058" width="10.6640625" customWidth="1"/>
    <col min="13059" max="13059" width="10.109375" bestFit="1" customWidth="1"/>
    <col min="13061" max="13061" width="11.109375" customWidth="1"/>
    <col min="13062" max="13063" width="10.6640625" customWidth="1"/>
    <col min="13065" max="13065" width="4.6640625" customWidth="1"/>
    <col min="13066" max="13066" width="10.6640625" customWidth="1"/>
    <col min="13068" max="13068" width="10.6640625" customWidth="1"/>
    <col min="13314" max="13314" width="10.6640625" customWidth="1"/>
    <col min="13315" max="13315" width="10.109375" bestFit="1" customWidth="1"/>
    <col min="13317" max="13317" width="11.109375" customWidth="1"/>
    <col min="13318" max="13319" width="10.6640625" customWidth="1"/>
    <col min="13321" max="13321" width="4.6640625" customWidth="1"/>
    <col min="13322" max="13322" width="10.6640625" customWidth="1"/>
    <col min="13324" max="13324" width="10.6640625" customWidth="1"/>
    <col min="13570" max="13570" width="10.6640625" customWidth="1"/>
    <col min="13571" max="13571" width="10.109375" bestFit="1" customWidth="1"/>
    <col min="13573" max="13573" width="11.109375" customWidth="1"/>
    <col min="13574" max="13575" width="10.6640625" customWidth="1"/>
    <col min="13577" max="13577" width="4.6640625" customWidth="1"/>
    <col min="13578" max="13578" width="10.6640625" customWidth="1"/>
    <col min="13580" max="13580" width="10.6640625" customWidth="1"/>
    <col min="13826" max="13826" width="10.6640625" customWidth="1"/>
    <col min="13827" max="13827" width="10.109375" bestFit="1" customWidth="1"/>
    <col min="13829" max="13829" width="11.109375" customWidth="1"/>
    <col min="13830" max="13831" width="10.6640625" customWidth="1"/>
    <col min="13833" max="13833" width="4.6640625" customWidth="1"/>
    <col min="13834" max="13834" width="10.6640625" customWidth="1"/>
    <col min="13836" max="13836" width="10.6640625" customWidth="1"/>
    <col min="14082" max="14082" width="10.6640625" customWidth="1"/>
    <col min="14083" max="14083" width="10.109375" bestFit="1" customWidth="1"/>
    <col min="14085" max="14085" width="11.109375" customWidth="1"/>
    <col min="14086" max="14087" width="10.6640625" customWidth="1"/>
    <col min="14089" max="14089" width="4.6640625" customWidth="1"/>
    <col min="14090" max="14090" width="10.6640625" customWidth="1"/>
    <col min="14092" max="14092" width="10.6640625" customWidth="1"/>
    <col min="14338" max="14338" width="10.6640625" customWidth="1"/>
    <col min="14339" max="14339" width="10.109375" bestFit="1" customWidth="1"/>
    <col min="14341" max="14341" width="11.109375" customWidth="1"/>
    <col min="14342" max="14343" width="10.6640625" customWidth="1"/>
    <col min="14345" max="14345" width="4.6640625" customWidth="1"/>
    <col min="14346" max="14346" width="10.6640625" customWidth="1"/>
    <col min="14348" max="14348" width="10.6640625" customWidth="1"/>
    <col min="14594" max="14594" width="10.6640625" customWidth="1"/>
    <col min="14595" max="14595" width="10.109375" bestFit="1" customWidth="1"/>
    <col min="14597" max="14597" width="11.109375" customWidth="1"/>
    <col min="14598" max="14599" width="10.6640625" customWidth="1"/>
    <col min="14601" max="14601" width="4.6640625" customWidth="1"/>
    <col min="14602" max="14602" width="10.6640625" customWidth="1"/>
    <col min="14604" max="14604" width="10.6640625" customWidth="1"/>
    <col min="14850" max="14850" width="10.6640625" customWidth="1"/>
    <col min="14851" max="14851" width="10.109375" bestFit="1" customWidth="1"/>
    <col min="14853" max="14853" width="11.109375" customWidth="1"/>
    <col min="14854" max="14855" width="10.6640625" customWidth="1"/>
    <col min="14857" max="14857" width="4.6640625" customWidth="1"/>
    <col min="14858" max="14858" width="10.6640625" customWidth="1"/>
    <col min="14860" max="14860" width="10.6640625" customWidth="1"/>
    <col min="15106" max="15106" width="10.6640625" customWidth="1"/>
    <col min="15107" max="15107" width="10.109375" bestFit="1" customWidth="1"/>
    <col min="15109" max="15109" width="11.109375" customWidth="1"/>
    <col min="15110" max="15111" width="10.6640625" customWidth="1"/>
    <col min="15113" max="15113" width="4.6640625" customWidth="1"/>
    <col min="15114" max="15114" width="10.6640625" customWidth="1"/>
    <col min="15116" max="15116" width="10.6640625" customWidth="1"/>
    <col min="15362" max="15362" width="10.6640625" customWidth="1"/>
    <col min="15363" max="15363" width="10.109375" bestFit="1" customWidth="1"/>
    <col min="15365" max="15365" width="11.109375" customWidth="1"/>
    <col min="15366" max="15367" width="10.6640625" customWidth="1"/>
    <col min="15369" max="15369" width="4.6640625" customWidth="1"/>
    <col min="15370" max="15370" width="10.6640625" customWidth="1"/>
    <col min="15372" max="15372" width="10.6640625" customWidth="1"/>
    <col min="15618" max="15618" width="10.6640625" customWidth="1"/>
    <col min="15619" max="15619" width="10.109375" bestFit="1" customWidth="1"/>
    <col min="15621" max="15621" width="11.109375" customWidth="1"/>
    <col min="15622" max="15623" width="10.6640625" customWidth="1"/>
    <col min="15625" max="15625" width="4.6640625" customWidth="1"/>
    <col min="15626" max="15626" width="10.6640625" customWidth="1"/>
    <col min="15628" max="15628" width="10.6640625" customWidth="1"/>
    <col min="15874" max="15874" width="10.6640625" customWidth="1"/>
    <col min="15875" max="15875" width="10.109375" bestFit="1" customWidth="1"/>
    <col min="15877" max="15877" width="11.109375" customWidth="1"/>
    <col min="15878" max="15879" width="10.6640625" customWidth="1"/>
    <col min="15881" max="15881" width="4.6640625" customWidth="1"/>
    <col min="15882" max="15882" width="10.6640625" customWidth="1"/>
    <col min="15884" max="15884" width="10.6640625" customWidth="1"/>
    <col min="16130" max="16130" width="10.6640625" customWidth="1"/>
    <col min="16131" max="16131" width="10.109375" bestFit="1" customWidth="1"/>
    <col min="16133" max="16133" width="11.109375" customWidth="1"/>
    <col min="16134" max="16135" width="10.6640625" customWidth="1"/>
    <col min="16137" max="16137" width="4.6640625" customWidth="1"/>
    <col min="16138" max="16138" width="10.6640625" customWidth="1"/>
    <col min="16140" max="16140" width="10.6640625" customWidth="1"/>
  </cols>
  <sheetData>
    <row r="1" spans="1:9" ht="17.399999999999999">
      <c r="D1" s="43" t="str">
        <f>[7]step1!D1</f>
        <v>Expected value</v>
      </c>
    </row>
    <row r="2" spans="1:9" ht="17.399999999999999">
      <c r="D2" s="43" t="str">
        <f>[7]step1!D2</f>
        <v>Manufacturing line problems</v>
      </c>
    </row>
    <row r="5" spans="1:9">
      <c r="B5" s="44" t="str">
        <f>[7]step1!B5</f>
        <v>Specific Motors has planned a new manufacturing line for nano-motors.  The after-tax</v>
      </c>
      <c r="C5" s="45"/>
      <c r="D5" s="45"/>
      <c r="E5" s="45"/>
      <c r="F5" s="45"/>
      <c r="G5" s="45"/>
      <c r="H5" s="45"/>
      <c r="I5" s="46"/>
    </row>
    <row r="6" spans="1:9">
      <c r="B6" s="47" t="str">
        <f>[7]step1!B6</f>
        <v>economic analysis is shown below.  However, the given costs and sales are only the</v>
      </c>
      <c r="C6" s="48"/>
      <c r="D6" s="48"/>
      <c r="E6" s="48"/>
      <c r="F6" s="48"/>
      <c r="G6" s="48"/>
      <c r="H6" s="49"/>
      <c r="I6" s="50"/>
    </row>
    <row r="7" spans="1:9">
      <c r="B7" s="47" t="str">
        <f>[7]step1!B7</f>
        <v>most likely values.  Pessimistically, there is a 10% chance that the price per unit is</v>
      </c>
      <c r="C7" s="48"/>
      <c r="D7" s="48"/>
      <c r="E7" s="48"/>
      <c r="F7" s="48"/>
      <c r="G7" s="48"/>
      <c r="H7" s="48"/>
      <c r="I7" s="50"/>
    </row>
    <row r="8" spans="1:9">
      <c r="B8" s="47" t="str">
        <f>[7]step1!B8</f>
        <v>$14, cost per unit is $7 and sales are 60000.      Optimistically, there is a 25% chance</v>
      </c>
      <c r="C8" s="48"/>
      <c r="D8" s="48"/>
      <c r="E8" s="48"/>
      <c r="F8" s="48"/>
      <c r="G8" s="48"/>
      <c r="H8" s="48"/>
      <c r="I8" s="50"/>
    </row>
    <row r="9" spans="1:9">
      <c r="B9" s="47" t="str">
        <f>[7]step1!B9</f>
        <v>that the price per unit is $16, the cost per unit is $3.5, and the sales are 120000.  Find</v>
      </c>
      <c r="C9" s="48"/>
      <c r="D9" s="48"/>
      <c r="E9" s="48"/>
      <c r="F9" s="48"/>
      <c r="G9" s="48"/>
      <c r="H9" s="48"/>
      <c r="I9" s="50"/>
    </row>
    <row r="10" spans="1:9">
      <c r="B10" s="51" t="str">
        <f>[7]step1!B10</f>
        <v>the expected present value of the line to see if it should be built, given MARR of 25%.</v>
      </c>
      <c r="C10" s="52"/>
      <c r="D10" s="52"/>
      <c r="E10" s="52"/>
      <c r="F10" s="53"/>
      <c r="G10" s="52"/>
      <c r="H10" s="52"/>
      <c r="I10" s="54"/>
    </row>
    <row r="12" spans="1:9" ht="15.6">
      <c r="A12" s="55" t="s">
        <v>97</v>
      </c>
      <c r="B12" s="56"/>
      <c r="C12" s="57"/>
      <c r="D12" s="57"/>
      <c r="E12" s="57"/>
      <c r="F12" s="57"/>
      <c r="G12" s="57"/>
      <c r="H12" s="57"/>
      <c r="I12" s="58"/>
    </row>
    <row r="13" spans="1:9" ht="15.6">
      <c r="A13" s="59"/>
      <c r="B13" s="60" t="s">
        <v>98</v>
      </c>
      <c r="I13" s="61"/>
    </row>
    <row r="14" spans="1:9">
      <c r="A14" s="62"/>
      <c r="B14" s="63"/>
      <c r="C14" s="63"/>
      <c r="D14" s="63"/>
      <c r="E14" s="63"/>
      <c r="F14" s="63"/>
      <c r="G14" s="63"/>
      <c r="H14" s="63"/>
      <c r="I14" s="64"/>
    </row>
    <row r="16" spans="1:9">
      <c r="G16" s="65"/>
    </row>
    <row r="18" spans="1:12">
      <c r="B18" s="78" t="s">
        <v>162</v>
      </c>
      <c r="C18" s="57"/>
      <c r="D18" s="57"/>
      <c r="E18" s="169">
        <v>15</v>
      </c>
      <c r="G18" s="78" t="s">
        <v>111</v>
      </c>
      <c r="H18" s="57"/>
      <c r="I18" s="79">
        <v>0.4</v>
      </c>
    </row>
    <row r="19" spans="1:12">
      <c r="B19" s="59" t="s">
        <v>163</v>
      </c>
      <c r="E19" s="170">
        <v>5</v>
      </c>
      <c r="G19" s="62" t="s">
        <v>112</v>
      </c>
      <c r="H19" s="63"/>
      <c r="I19" s="80">
        <v>0.25</v>
      </c>
    </row>
    <row r="20" spans="1:12">
      <c r="B20" s="62" t="s">
        <v>164</v>
      </c>
      <c r="C20" s="63"/>
      <c r="D20" s="63"/>
      <c r="E20" s="64">
        <v>80000</v>
      </c>
    </row>
    <row r="22" spans="1:12" ht="28.8">
      <c r="A22" s="66" t="s">
        <v>99</v>
      </c>
      <c r="B22" s="67" t="s">
        <v>100</v>
      </c>
      <c r="C22" s="67" t="s">
        <v>101</v>
      </c>
      <c r="D22" s="67" t="s">
        <v>102</v>
      </c>
      <c r="E22" s="67" t="s">
        <v>103</v>
      </c>
      <c r="F22" s="67" t="s">
        <v>104</v>
      </c>
      <c r="G22" s="67" t="s">
        <v>105</v>
      </c>
      <c r="H22" s="67" t="s">
        <v>106</v>
      </c>
      <c r="I22" s="67"/>
      <c r="J22" s="67" t="s">
        <v>107</v>
      </c>
      <c r="K22" s="67" t="s">
        <v>108</v>
      </c>
      <c r="L22" s="68" t="s">
        <v>109</v>
      </c>
    </row>
    <row r="23" spans="1:12">
      <c r="A23" s="69">
        <v>0</v>
      </c>
      <c r="B23" s="70"/>
      <c r="C23" s="70"/>
      <c r="E23" s="70"/>
      <c r="F23" s="70"/>
      <c r="G23" s="70">
        <f t="shared" ref="G23:G29" si="0">B23-C23-E23+F23</f>
        <v>0</v>
      </c>
      <c r="H23" s="70">
        <f t="shared" ref="H23:H29" si="1">$I$18*G23</f>
        <v>0</v>
      </c>
      <c r="I23" s="70"/>
      <c r="J23" s="70">
        <v>2000000</v>
      </c>
      <c r="K23" s="70"/>
      <c r="L23" s="71">
        <f t="shared" ref="L23:L29" si="2">B23-C23-H23-J23+K23</f>
        <v>-2000000</v>
      </c>
    </row>
    <row r="24" spans="1:12">
      <c r="A24" s="69">
        <v>1</v>
      </c>
      <c r="B24" s="70">
        <f t="shared" ref="B24:B29" si="3">$E$18*$E$20</f>
        <v>1200000</v>
      </c>
      <c r="C24" s="70">
        <f t="shared" ref="C24:C29" si="4">$E$19*$E$20</f>
        <v>400000</v>
      </c>
      <c r="D24" s="72">
        <v>0.2</v>
      </c>
      <c r="E24" s="70">
        <f t="shared" ref="E24:E29" si="5">$J$23*D24</f>
        <v>400000</v>
      </c>
      <c r="F24" s="70"/>
      <c r="G24" s="70">
        <f t="shared" si="0"/>
        <v>400000</v>
      </c>
      <c r="H24" s="70">
        <f t="shared" si="1"/>
        <v>160000</v>
      </c>
      <c r="I24" s="70"/>
      <c r="J24" s="70"/>
      <c r="K24" s="70"/>
      <c r="L24" s="71">
        <f t="shared" si="2"/>
        <v>640000</v>
      </c>
    </row>
    <row r="25" spans="1:12">
      <c r="A25" s="69">
        <v>2</v>
      </c>
      <c r="B25" s="70">
        <f t="shared" si="3"/>
        <v>1200000</v>
      </c>
      <c r="C25" s="70">
        <f t="shared" si="4"/>
        <v>400000</v>
      </c>
      <c r="D25" s="72">
        <v>0.32</v>
      </c>
      <c r="E25" s="70">
        <f t="shared" si="5"/>
        <v>640000</v>
      </c>
      <c r="F25" s="70"/>
      <c r="G25" s="70">
        <f t="shared" si="0"/>
        <v>160000</v>
      </c>
      <c r="H25" s="70">
        <f t="shared" si="1"/>
        <v>64000</v>
      </c>
      <c r="I25" s="70"/>
      <c r="J25" s="70"/>
      <c r="K25" s="70"/>
      <c r="L25" s="71">
        <f t="shared" si="2"/>
        <v>736000</v>
      </c>
    </row>
    <row r="26" spans="1:12">
      <c r="A26" s="69">
        <v>3</v>
      </c>
      <c r="B26" s="70">
        <f t="shared" si="3"/>
        <v>1200000</v>
      </c>
      <c r="C26" s="70">
        <f t="shared" si="4"/>
        <v>400000</v>
      </c>
      <c r="D26" s="72">
        <v>0.192</v>
      </c>
      <c r="E26" s="70">
        <f t="shared" si="5"/>
        <v>384000</v>
      </c>
      <c r="F26" s="70"/>
      <c r="G26" s="70">
        <f t="shared" si="0"/>
        <v>416000</v>
      </c>
      <c r="H26" s="70">
        <f t="shared" si="1"/>
        <v>166400</v>
      </c>
      <c r="I26" s="70"/>
      <c r="J26" s="70"/>
      <c r="K26" s="70"/>
      <c r="L26" s="71">
        <f t="shared" si="2"/>
        <v>633600</v>
      </c>
    </row>
    <row r="27" spans="1:12">
      <c r="A27" s="69">
        <v>4</v>
      </c>
      <c r="B27" s="70">
        <f t="shared" si="3"/>
        <v>1200000</v>
      </c>
      <c r="C27" s="70">
        <f t="shared" si="4"/>
        <v>400000</v>
      </c>
      <c r="D27" s="72">
        <v>0.1152</v>
      </c>
      <c r="E27" s="70">
        <f t="shared" si="5"/>
        <v>230400</v>
      </c>
      <c r="F27" s="70"/>
      <c r="G27" s="70">
        <f t="shared" si="0"/>
        <v>569600</v>
      </c>
      <c r="H27" s="70">
        <f t="shared" si="1"/>
        <v>227840</v>
      </c>
      <c r="I27" s="70"/>
      <c r="J27" s="70"/>
      <c r="K27" s="70"/>
      <c r="L27" s="71">
        <f t="shared" si="2"/>
        <v>572160</v>
      </c>
    </row>
    <row r="28" spans="1:12">
      <c r="A28" s="69">
        <v>5</v>
      </c>
      <c r="B28" s="70">
        <f t="shared" si="3"/>
        <v>1200000</v>
      </c>
      <c r="C28" s="70">
        <f t="shared" si="4"/>
        <v>400000</v>
      </c>
      <c r="D28" s="72">
        <v>0.1152</v>
      </c>
      <c r="E28" s="70">
        <f t="shared" si="5"/>
        <v>230400</v>
      </c>
      <c r="F28" s="70"/>
      <c r="G28" s="70">
        <f t="shared" si="0"/>
        <v>569600</v>
      </c>
      <c r="H28" s="70">
        <f t="shared" si="1"/>
        <v>227840</v>
      </c>
      <c r="I28" s="70"/>
      <c r="J28" s="70"/>
      <c r="K28" s="70"/>
      <c r="L28" s="71">
        <f t="shared" si="2"/>
        <v>572160</v>
      </c>
    </row>
    <row r="29" spans="1:12">
      <c r="A29" s="69">
        <v>6</v>
      </c>
      <c r="B29" s="70">
        <f t="shared" si="3"/>
        <v>1200000</v>
      </c>
      <c r="C29" s="70">
        <f t="shared" si="4"/>
        <v>400000</v>
      </c>
      <c r="D29" s="72">
        <v>5.7599999999999998E-2</v>
      </c>
      <c r="E29" s="70">
        <f t="shared" si="5"/>
        <v>115200</v>
      </c>
      <c r="F29" s="70">
        <f>K29</f>
        <v>200000</v>
      </c>
      <c r="G29" s="70">
        <f t="shared" si="0"/>
        <v>884800</v>
      </c>
      <c r="H29" s="70">
        <f t="shared" si="1"/>
        <v>353920</v>
      </c>
      <c r="I29" s="70"/>
      <c r="J29" s="70"/>
      <c r="K29" s="70">
        <v>200000</v>
      </c>
      <c r="L29" s="71">
        <f t="shared" si="2"/>
        <v>646080</v>
      </c>
    </row>
    <row r="30" spans="1:12">
      <c r="A30" s="62"/>
      <c r="B30" s="63"/>
      <c r="C30" s="63"/>
      <c r="D30" s="63"/>
      <c r="E30" s="63"/>
      <c r="F30" s="63"/>
      <c r="G30" s="63"/>
      <c r="H30" s="63"/>
      <c r="I30" s="63"/>
      <c r="J30" s="63"/>
      <c r="K30" s="63"/>
      <c r="L30" s="64"/>
    </row>
    <row r="31" spans="1:12">
      <c r="C31" s="74"/>
      <c r="L31" s="75"/>
    </row>
    <row r="32" spans="1:12">
      <c r="C32" s="74"/>
      <c r="J32" s="66" t="s">
        <v>165</v>
      </c>
      <c r="K32" s="144"/>
      <c r="L32" s="171">
        <f>L23+NPV(I19,L24:L29)</f>
        <v>-101348.67967999983</v>
      </c>
    </row>
    <row r="33" spans="2:8">
      <c r="B33" s="172" t="s">
        <v>166</v>
      </c>
      <c r="C33" s="144"/>
      <c r="D33" s="144"/>
      <c r="E33" s="144" t="s">
        <v>167</v>
      </c>
      <c r="F33" s="173" t="s">
        <v>168</v>
      </c>
      <c r="G33" s="174"/>
    </row>
    <row r="34" spans="2:8">
      <c r="B34" s="175" t="s">
        <v>169</v>
      </c>
      <c r="E34" s="142">
        <f>1-[7]step1!N8-[7]step1!N10</f>
        <v>0.65</v>
      </c>
      <c r="F34" s="84">
        <f>L32</f>
        <v>-101348.67967999983</v>
      </c>
      <c r="G34" s="176"/>
    </row>
    <row r="35" spans="2:8">
      <c r="B35" s="175" t="s">
        <v>170</v>
      </c>
      <c r="E35" s="142">
        <f>[7]step1!N8</f>
        <v>0.1</v>
      </c>
      <c r="F35" s="84">
        <f>[7]final!L91</f>
        <v>-774273.35168000008</v>
      </c>
      <c r="G35" s="61"/>
    </row>
    <row r="36" spans="2:8">
      <c r="B36" s="175" t="s">
        <v>171</v>
      </c>
      <c r="E36" s="142">
        <f>[7]step1!N10</f>
        <v>0.25</v>
      </c>
      <c r="F36" s="84">
        <f>L74</f>
        <v>1138249.40032</v>
      </c>
      <c r="G36" s="170"/>
      <c r="H36" s="77"/>
    </row>
    <row r="37" spans="2:8">
      <c r="B37" s="59"/>
      <c r="C37" s="74"/>
      <c r="G37" s="61"/>
    </row>
    <row r="38" spans="2:8">
      <c r="B38" s="59" t="s">
        <v>172</v>
      </c>
      <c r="C38" s="74"/>
      <c r="F38" s="177">
        <f>E34*F34+E35*F35+E36*F36</f>
        <v>141258.37312000012</v>
      </c>
      <c r="G38" s="61"/>
    </row>
    <row r="39" spans="2:8">
      <c r="B39" s="59"/>
      <c r="C39" s="74"/>
      <c r="G39" s="61"/>
    </row>
    <row r="40" spans="2:8">
      <c r="B40" s="62" t="s">
        <v>173</v>
      </c>
      <c r="C40" s="140"/>
      <c r="D40" s="95" t="s">
        <v>174</v>
      </c>
      <c r="E40" s="178" t="str">
        <f>IF(F38&gt;0,"X","")</f>
        <v>X</v>
      </c>
      <c r="F40" s="95" t="s">
        <v>175</v>
      </c>
      <c r="G40" s="123" t="str">
        <f>IF(F38&lt;=0,"X","")</f>
        <v/>
      </c>
    </row>
    <row r="41" spans="2:8">
      <c r="C41" s="74"/>
    </row>
    <row r="42" spans="2:8">
      <c r="C42" s="74"/>
    </row>
    <row r="43" spans="2:8" ht="17.399999999999999">
      <c r="B43" s="25" t="s">
        <v>117</v>
      </c>
      <c r="D43" s="76"/>
    </row>
    <row r="59" spans="1:12">
      <c r="A59" t="s">
        <v>176</v>
      </c>
    </row>
    <row r="60" spans="1:12">
      <c r="B60" s="78" t="s">
        <v>162</v>
      </c>
      <c r="C60" s="57"/>
      <c r="D60" s="57"/>
      <c r="E60" s="169">
        <f>[7]step1!N4</f>
        <v>16</v>
      </c>
      <c r="G60" s="78" t="s">
        <v>111</v>
      </c>
      <c r="H60" s="57"/>
      <c r="I60" s="79">
        <v>0.4</v>
      </c>
    </row>
    <row r="61" spans="1:12">
      <c r="B61" s="59" t="s">
        <v>163</v>
      </c>
      <c r="E61" s="170">
        <f>[7]step1!N5</f>
        <v>3.5</v>
      </c>
      <c r="G61" s="62" t="s">
        <v>112</v>
      </c>
      <c r="H61" s="63"/>
      <c r="I61" s="80">
        <v>0.25</v>
      </c>
    </row>
    <row r="62" spans="1:12">
      <c r="B62" s="62" t="s">
        <v>164</v>
      </c>
      <c r="C62" s="63"/>
      <c r="D62" s="63"/>
      <c r="E62" s="64">
        <f>[7]step1!N6</f>
        <v>120000</v>
      </c>
    </row>
    <row r="64" spans="1:12" ht="28.8">
      <c r="A64" s="66" t="s">
        <v>99</v>
      </c>
      <c r="B64" s="67" t="s">
        <v>100</v>
      </c>
      <c r="C64" s="67" t="s">
        <v>101</v>
      </c>
      <c r="D64" s="67" t="s">
        <v>102</v>
      </c>
      <c r="E64" s="67" t="s">
        <v>103</v>
      </c>
      <c r="F64" s="67" t="s">
        <v>104</v>
      </c>
      <c r="G64" s="67" t="s">
        <v>105</v>
      </c>
      <c r="H64" s="67" t="s">
        <v>106</v>
      </c>
      <c r="I64" s="67"/>
      <c r="J64" s="67" t="s">
        <v>107</v>
      </c>
      <c r="K64" s="67" t="s">
        <v>108</v>
      </c>
      <c r="L64" s="68" t="s">
        <v>109</v>
      </c>
    </row>
    <row r="65" spans="1:12">
      <c r="A65" s="69">
        <v>0</v>
      </c>
      <c r="B65" s="70"/>
      <c r="C65" s="70"/>
      <c r="E65" s="70"/>
      <c r="F65" s="70"/>
      <c r="G65" s="70">
        <f t="shared" ref="G65:G71" si="6">B65-C65-E65+F65</f>
        <v>0</v>
      </c>
      <c r="H65" s="70">
        <f t="shared" ref="H65:H71" si="7">$I$18*G65</f>
        <v>0</v>
      </c>
      <c r="I65" s="70"/>
      <c r="J65" s="70">
        <v>2000000</v>
      </c>
      <c r="K65" s="70"/>
      <c r="L65" s="71">
        <f t="shared" ref="L65:L71" si="8">B65-C65-H65-J65+K65</f>
        <v>-2000000</v>
      </c>
    </row>
    <row r="66" spans="1:12">
      <c r="A66" s="69">
        <v>1</v>
      </c>
      <c r="B66" s="70">
        <f t="shared" ref="B66:B71" si="9">$E$60*$E$62</f>
        <v>1920000</v>
      </c>
      <c r="C66" s="70">
        <f t="shared" ref="C66:C71" si="10">$E$61*$E$62</f>
        <v>420000</v>
      </c>
      <c r="D66" s="72">
        <v>0.2</v>
      </c>
      <c r="E66" s="70">
        <f t="shared" ref="E66:E71" si="11">$J$23*D66</f>
        <v>400000</v>
      </c>
      <c r="F66" s="70"/>
      <c r="G66" s="70">
        <f t="shared" si="6"/>
        <v>1100000</v>
      </c>
      <c r="H66" s="70">
        <f t="shared" si="7"/>
        <v>440000</v>
      </c>
      <c r="I66" s="70"/>
      <c r="J66" s="70"/>
      <c r="K66" s="70"/>
      <c r="L66" s="71">
        <f t="shared" si="8"/>
        <v>1060000</v>
      </c>
    </row>
    <row r="67" spans="1:12">
      <c r="A67" s="69">
        <v>2</v>
      </c>
      <c r="B67" s="70">
        <f t="shared" si="9"/>
        <v>1920000</v>
      </c>
      <c r="C67" s="70">
        <f t="shared" si="10"/>
        <v>420000</v>
      </c>
      <c r="D67" s="72">
        <v>0.32</v>
      </c>
      <c r="E67" s="70">
        <f t="shared" si="11"/>
        <v>640000</v>
      </c>
      <c r="F67" s="70"/>
      <c r="G67" s="70">
        <f t="shared" si="6"/>
        <v>860000</v>
      </c>
      <c r="H67" s="70">
        <f t="shared" si="7"/>
        <v>344000</v>
      </c>
      <c r="I67" s="70"/>
      <c r="J67" s="70"/>
      <c r="K67" s="70"/>
      <c r="L67" s="71">
        <f t="shared" si="8"/>
        <v>1156000</v>
      </c>
    </row>
    <row r="68" spans="1:12">
      <c r="A68" s="69">
        <v>3</v>
      </c>
      <c r="B68" s="70">
        <f t="shared" si="9"/>
        <v>1920000</v>
      </c>
      <c r="C68" s="70">
        <f t="shared" si="10"/>
        <v>420000</v>
      </c>
      <c r="D68" s="72">
        <v>0.192</v>
      </c>
      <c r="E68" s="70">
        <f t="shared" si="11"/>
        <v>384000</v>
      </c>
      <c r="F68" s="70"/>
      <c r="G68" s="70">
        <f t="shared" si="6"/>
        <v>1116000</v>
      </c>
      <c r="H68" s="70">
        <f t="shared" si="7"/>
        <v>446400</v>
      </c>
      <c r="I68" s="70"/>
      <c r="J68" s="70"/>
      <c r="K68" s="70"/>
      <c r="L68" s="71">
        <f t="shared" si="8"/>
        <v>1053600</v>
      </c>
    </row>
    <row r="69" spans="1:12">
      <c r="A69" s="69">
        <v>4</v>
      </c>
      <c r="B69" s="70">
        <f t="shared" si="9"/>
        <v>1920000</v>
      </c>
      <c r="C69" s="70">
        <f t="shared" si="10"/>
        <v>420000</v>
      </c>
      <c r="D69" s="72">
        <v>0.1152</v>
      </c>
      <c r="E69" s="70">
        <f t="shared" si="11"/>
        <v>230400</v>
      </c>
      <c r="F69" s="70"/>
      <c r="G69" s="70">
        <f t="shared" si="6"/>
        <v>1269600</v>
      </c>
      <c r="H69" s="70">
        <f t="shared" si="7"/>
        <v>507840</v>
      </c>
      <c r="I69" s="70"/>
      <c r="J69" s="70"/>
      <c r="K69" s="70"/>
      <c r="L69" s="71">
        <f t="shared" si="8"/>
        <v>992160</v>
      </c>
    </row>
    <row r="70" spans="1:12">
      <c r="A70" s="69">
        <v>5</v>
      </c>
      <c r="B70" s="70">
        <f t="shared" si="9"/>
        <v>1920000</v>
      </c>
      <c r="C70" s="70">
        <f t="shared" si="10"/>
        <v>420000</v>
      </c>
      <c r="D70" s="72">
        <v>0.1152</v>
      </c>
      <c r="E70" s="70">
        <f t="shared" si="11"/>
        <v>230400</v>
      </c>
      <c r="F70" s="70"/>
      <c r="G70" s="70">
        <f t="shared" si="6"/>
        <v>1269600</v>
      </c>
      <c r="H70" s="70">
        <f t="shared" si="7"/>
        <v>507840</v>
      </c>
      <c r="I70" s="70"/>
      <c r="J70" s="70"/>
      <c r="K70" s="70"/>
      <c r="L70" s="71">
        <f t="shared" si="8"/>
        <v>992160</v>
      </c>
    </row>
    <row r="71" spans="1:12">
      <c r="A71" s="69">
        <v>6</v>
      </c>
      <c r="B71" s="70">
        <f t="shared" si="9"/>
        <v>1920000</v>
      </c>
      <c r="C71" s="70">
        <f t="shared" si="10"/>
        <v>420000</v>
      </c>
      <c r="D71" s="72">
        <v>5.7599999999999998E-2</v>
      </c>
      <c r="E71" s="70">
        <f t="shared" si="11"/>
        <v>115200</v>
      </c>
      <c r="F71" s="70">
        <f>K71</f>
        <v>200000</v>
      </c>
      <c r="G71" s="70">
        <f t="shared" si="6"/>
        <v>1584800</v>
      </c>
      <c r="H71" s="70">
        <f t="shared" si="7"/>
        <v>633920</v>
      </c>
      <c r="I71" s="70"/>
      <c r="J71" s="70"/>
      <c r="K71" s="70">
        <v>200000</v>
      </c>
      <c r="L71" s="71">
        <f t="shared" si="8"/>
        <v>1066080</v>
      </c>
    </row>
    <row r="72" spans="1:12">
      <c r="A72" s="62"/>
      <c r="B72" s="63"/>
      <c r="C72" s="63"/>
      <c r="D72" s="63"/>
      <c r="E72" s="63"/>
      <c r="F72" s="63"/>
      <c r="G72" s="63"/>
      <c r="H72" s="63"/>
      <c r="I72" s="63"/>
      <c r="J72" s="63"/>
      <c r="K72" s="63"/>
      <c r="L72" s="64"/>
    </row>
    <row r="73" spans="1:12">
      <c r="C73" s="74"/>
      <c r="L73" s="75"/>
    </row>
    <row r="74" spans="1:12">
      <c r="C74" s="74"/>
      <c r="J74" s="66" t="s">
        <v>165</v>
      </c>
      <c r="K74" s="144"/>
      <c r="L74" s="179">
        <f>L65+NPV(I61,L66:L71)</f>
        <v>1138249.40032</v>
      </c>
    </row>
    <row r="76" spans="1:12">
      <c r="A76" t="s">
        <v>177</v>
      </c>
    </row>
    <row r="77" spans="1:12">
      <c r="B77" s="78" t="s">
        <v>162</v>
      </c>
      <c r="C77" s="57"/>
      <c r="D77" s="57"/>
      <c r="E77" s="169">
        <f>[7]step1!N1</f>
        <v>14</v>
      </c>
      <c r="G77" s="78" t="s">
        <v>111</v>
      </c>
      <c r="H77" s="57"/>
      <c r="I77" s="79">
        <v>0.4</v>
      </c>
    </row>
    <row r="78" spans="1:12">
      <c r="B78" s="59" t="s">
        <v>163</v>
      </c>
      <c r="E78" s="170">
        <f>[7]step1!N2</f>
        <v>7</v>
      </c>
      <c r="G78" s="62" t="s">
        <v>112</v>
      </c>
      <c r="H78" s="63"/>
      <c r="I78" s="80">
        <v>0.25</v>
      </c>
    </row>
    <row r="79" spans="1:12">
      <c r="B79" s="62" t="s">
        <v>164</v>
      </c>
      <c r="C79" s="63"/>
      <c r="D79" s="63"/>
      <c r="E79" s="64">
        <f>[7]step1!N3</f>
        <v>60000</v>
      </c>
    </row>
    <row r="81" spans="1:12" ht="28.8">
      <c r="A81" s="66" t="s">
        <v>99</v>
      </c>
      <c r="B81" s="67" t="s">
        <v>100</v>
      </c>
      <c r="C81" s="67" t="s">
        <v>101</v>
      </c>
      <c r="D81" s="67" t="s">
        <v>102</v>
      </c>
      <c r="E81" s="67" t="s">
        <v>103</v>
      </c>
      <c r="F81" s="67" t="s">
        <v>104</v>
      </c>
      <c r="G81" s="67" t="s">
        <v>105</v>
      </c>
      <c r="H81" s="67" t="s">
        <v>106</v>
      </c>
      <c r="I81" s="67"/>
      <c r="J81" s="67" t="s">
        <v>107</v>
      </c>
      <c r="K81" s="67" t="s">
        <v>108</v>
      </c>
      <c r="L81" s="68" t="s">
        <v>109</v>
      </c>
    </row>
    <row r="82" spans="1:12">
      <c r="A82" s="69">
        <v>0</v>
      </c>
      <c r="B82" s="70"/>
      <c r="C82" s="70"/>
      <c r="E82" s="70"/>
      <c r="F82" s="70"/>
      <c r="G82" s="70">
        <f t="shared" ref="G82:G88" si="12">B82-C82-E82+F82</f>
        <v>0</v>
      </c>
      <c r="H82" s="70">
        <f t="shared" ref="H82:H88" si="13">$I$18*G82</f>
        <v>0</v>
      </c>
      <c r="I82" s="70"/>
      <c r="J82" s="70">
        <v>2000000</v>
      </c>
      <c r="K82" s="70"/>
      <c r="L82" s="71">
        <f t="shared" ref="L82:L88" si="14">B82-C82-H82-J82+K82</f>
        <v>-2000000</v>
      </c>
    </row>
    <row r="83" spans="1:12">
      <c r="A83" s="69">
        <v>1</v>
      </c>
      <c r="B83" s="70">
        <f t="shared" ref="B83:B88" si="15">$E$77*$E$79</f>
        <v>840000</v>
      </c>
      <c r="C83" s="70">
        <f t="shared" ref="C83:C88" si="16">$E$78*$E$79</f>
        <v>420000</v>
      </c>
      <c r="D83" s="72">
        <v>0.2</v>
      </c>
      <c r="E83" s="70">
        <f t="shared" ref="E83:E88" si="17">$J$23*D83</f>
        <v>400000</v>
      </c>
      <c r="F83" s="70"/>
      <c r="G83" s="70">
        <f t="shared" si="12"/>
        <v>20000</v>
      </c>
      <c r="H83" s="70">
        <f t="shared" si="13"/>
        <v>8000</v>
      </c>
      <c r="I83" s="70"/>
      <c r="J83" s="70"/>
      <c r="K83" s="70"/>
      <c r="L83" s="71">
        <f t="shared" si="14"/>
        <v>412000</v>
      </c>
    </row>
    <row r="84" spans="1:12">
      <c r="A84" s="69">
        <v>2</v>
      </c>
      <c r="B84" s="70">
        <f t="shared" si="15"/>
        <v>840000</v>
      </c>
      <c r="C84" s="70">
        <f t="shared" si="16"/>
        <v>420000</v>
      </c>
      <c r="D84" s="72">
        <v>0.32</v>
      </c>
      <c r="E84" s="70">
        <f t="shared" si="17"/>
        <v>640000</v>
      </c>
      <c r="F84" s="70"/>
      <c r="G84" s="70">
        <f t="shared" si="12"/>
        <v>-220000</v>
      </c>
      <c r="H84" s="70">
        <f t="shared" si="13"/>
        <v>-88000</v>
      </c>
      <c r="I84" s="70"/>
      <c r="J84" s="70"/>
      <c r="K84" s="70"/>
      <c r="L84" s="71">
        <f t="shared" si="14"/>
        <v>508000</v>
      </c>
    </row>
    <row r="85" spans="1:12">
      <c r="A85" s="69">
        <v>3</v>
      </c>
      <c r="B85" s="70">
        <f t="shared" si="15"/>
        <v>840000</v>
      </c>
      <c r="C85" s="70">
        <f t="shared" si="16"/>
        <v>420000</v>
      </c>
      <c r="D85" s="72">
        <v>0.192</v>
      </c>
      <c r="E85" s="70">
        <f t="shared" si="17"/>
        <v>384000</v>
      </c>
      <c r="F85" s="70"/>
      <c r="G85" s="70">
        <f t="shared" si="12"/>
        <v>36000</v>
      </c>
      <c r="H85" s="70">
        <f t="shared" si="13"/>
        <v>14400</v>
      </c>
      <c r="I85" s="70"/>
      <c r="J85" s="70"/>
      <c r="K85" s="70"/>
      <c r="L85" s="71">
        <f t="shared" si="14"/>
        <v>405600</v>
      </c>
    </row>
    <row r="86" spans="1:12">
      <c r="A86" s="69">
        <v>4</v>
      </c>
      <c r="B86" s="70">
        <f t="shared" si="15"/>
        <v>840000</v>
      </c>
      <c r="C86" s="70">
        <f t="shared" si="16"/>
        <v>420000</v>
      </c>
      <c r="D86" s="72">
        <v>0.1152</v>
      </c>
      <c r="E86" s="70">
        <f t="shared" si="17"/>
        <v>230400</v>
      </c>
      <c r="F86" s="70"/>
      <c r="G86" s="70">
        <f t="shared" si="12"/>
        <v>189600</v>
      </c>
      <c r="H86" s="70">
        <f t="shared" si="13"/>
        <v>75840</v>
      </c>
      <c r="I86" s="70"/>
      <c r="J86" s="70"/>
      <c r="K86" s="70"/>
      <c r="L86" s="71">
        <f t="shared" si="14"/>
        <v>344160</v>
      </c>
    </row>
    <row r="87" spans="1:12">
      <c r="A87" s="69">
        <v>5</v>
      </c>
      <c r="B87" s="70">
        <f t="shared" si="15"/>
        <v>840000</v>
      </c>
      <c r="C87" s="70">
        <f t="shared" si="16"/>
        <v>420000</v>
      </c>
      <c r="D87" s="72">
        <v>0.1152</v>
      </c>
      <c r="E87" s="70">
        <f t="shared" si="17"/>
        <v>230400</v>
      </c>
      <c r="F87" s="70"/>
      <c r="G87" s="70">
        <f t="shared" si="12"/>
        <v>189600</v>
      </c>
      <c r="H87" s="70">
        <f t="shared" si="13"/>
        <v>75840</v>
      </c>
      <c r="I87" s="70"/>
      <c r="J87" s="70"/>
      <c r="K87" s="70"/>
      <c r="L87" s="71">
        <f t="shared" si="14"/>
        <v>344160</v>
      </c>
    </row>
    <row r="88" spans="1:12">
      <c r="A88" s="69">
        <v>6</v>
      </c>
      <c r="B88" s="70">
        <f t="shared" si="15"/>
        <v>840000</v>
      </c>
      <c r="C88" s="70">
        <f t="shared" si="16"/>
        <v>420000</v>
      </c>
      <c r="D88" s="72">
        <v>5.7599999999999998E-2</v>
      </c>
      <c r="E88" s="70">
        <f t="shared" si="17"/>
        <v>115200</v>
      </c>
      <c r="F88" s="70">
        <f>K88</f>
        <v>200000</v>
      </c>
      <c r="G88" s="70">
        <f t="shared" si="12"/>
        <v>504800</v>
      </c>
      <c r="H88" s="70">
        <f t="shared" si="13"/>
        <v>201920</v>
      </c>
      <c r="I88" s="70"/>
      <c r="J88" s="70"/>
      <c r="K88" s="70">
        <v>200000</v>
      </c>
      <c r="L88" s="71">
        <f t="shared" si="14"/>
        <v>418080</v>
      </c>
    </row>
    <row r="89" spans="1:12">
      <c r="A89" s="62"/>
      <c r="B89" s="63"/>
      <c r="C89" s="63"/>
      <c r="D89" s="63"/>
      <c r="E89" s="63"/>
      <c r="F89" s="63"/>
      <c r="G89" s="63"/>
      <c r="H89" s="63"/>
      <c r="I89" s="63"/>
      <c r="J89" s="63"/>
      <c r="K89" s="63"/>
      <c r="L89" s="64"/>
    </row>
    <row r="90" spans="1:12">
      <c r="C90" s="74"/>
      <c r="L90" s="75"/>
    </row>
    <row r="91" spans="1:12">
      <c r="C91" s="74"/>
      <c r="J91" s="66" t="s">
        <v>165</v>
      </c>
      <c r="K91" s="144"/>
      <c r="L91" s="179">
        <f>L82+NPV(I78,L83:L88)</f>
        <v>-774273.35168000008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6D0D9-B03B-4077-B2EA-0ABBDFBB46FC}">
  <dimension ref="A1:L43"/>
  <sheetViews>
    <sheetView workbookViewId="0">
      <selection sqref="A1:XFD1048576"/>
    </sheetView>
  </sheetViews>
  <sheetFormatPr defaultRowHeight="14.4"/>
  <cols>
    <col min="3" max="4" width="9.6640625" customWidth="1"/>
    <col min="7" max="7" width="9.6640625" customWidth="1"/>
    <col min="8" max="8" width="11.6640625" customWidth="1"/>
    <col min="9" max="9" width="6.6640625" customWidth="1"/>
    <col min="12" max="12" width="10.6640625" hidden="1" customWidth="1"/>
    <col min="259" max="260" width="9.6640625" customWidth="1"/>
    <col min="263" max="263" width="9.6640625" customWidth="1"/>
    <col min="264" max="264" width="11.6640625" customWidth="1"/>
    <col min="265" max="265" width="6.6640625" customWidth="1"/>
    <col min="268" max="268" width="0" hidden="1" customWidth="1"/>
    <col min="515" max="516" width="9.6640625" customWidth="1"/>
    <col min="519" max="519" width="9.6640625" customWidth="1"/>
    <col min="520" max="520" width="11.6640625" customWidth="1"/>
    <col min="521" max="521" width="6.6640625" customWidth="1"/>
    <col min="524" max="524" width="0" hidden="1" customWidth="1"/>
    <col min="771" max="772" width="9.6640625" customWidth="1"/>
    <col min="775" max="775" width="9.6640625" customWidth="1"/>
    <col min="776" max="776" width="11.6640625" customWidth="1"/>
    <col min="777" max="777" width="6.6640625" customWidth="1"/>
    <col min="780" max="780" width="0" hidden="1" customWidth="1"/>
    <col min="1027" max="1028" width="9.6640625" customWidth="1"/>
    <col min="1031" max="1031" width="9.6640625" customWidth="1"/>
    <col min="1032" max="1032" width="11.6640625" customWidth="1"/>
    <col min="1033" max="1033" width="6.6640625" customWidth="1"/>
    <col min="1036" max="1036" width="0" hidden="1" customWidth="1"/>
    <col min="1283" max="1284" width="9.6640625" customWidth="1"/>
    <col min="1287" max="1287" width="9.6640625" customWidth="1"/>
    <col min="1288" max="1288" width="11.6640625" customWidth="1"/>
    <col min="1289" max="1289" width="6.6640625" customWidth="1"/>
    <col min="1292" max="1292" width="0" hidden="1" customWidth="1"/>
    <col min="1539" max="1540" width="9.6640625" customWidth="1"/>
    <col min="1543" max="1543" width="9.6640625" customWidth="1"/>
    <col min="1544" max="1544" width="11.6640625" customWidth="1"/>
    <col min="1545" max="1545" width="6.6640625" customWidth="1"/>
    <col min="1548" max="1548" width="0" hidden="1" customWidth="1"/>
    <col min="1795" max="1796" width="9.6640625" customWidth="1"/>
    <col min="1799" max="1799" width="9.6640625" customWidth="1"/>
    <col min="1800" max="1800" width="11.6640625" customWidth="1"/>
    <col min="1801" max="1801" width="6.6640625" customWidth="1"/>
    <col min="1804" max="1804" width="0" hidden="1" customWidth="1"/>
    <col min="2051" max="2052" width="9.6640625" customWidth="1"/>
    <col min="2055" max="2055" width="9.6640625" customWidth="1"/>
    <col min="2056" max="2056" width="11.6640625" customWidth="1"/>
    <col min="2057" max="2057" width="6.6640625" customWidth="1"/>
    <col min="2060" max="2060" width="0" hidden="1" customWidth="1"/>
    <col min="2307" max="2308" width="9.6640625" customWidth="1"/>
    <col min="2311" max="2311" width="9.6640625" customWidth="1"/>
    <col min="2312" max="2312" width="11.6640625" customWidth="1"/>
    <col min="2313" max="2313" width="6.6640625" customWidth="1"/>
    <col min="2316" max="2316" width="0" hidden="1" customWidth="1"/>
    <col min="2563" max="2564" width="9.6640625" customWidth="1"/>
    <col min="2567" max="2567" width="9.6640625" customWidth="1"/>
    <col min="2568" max="2568" width="11.6640625" customWidth="1"/>
    <col min="2569" max="2569" width="6.6640625" customWidth="1"/>
    <col min="2572" max="2572" width="0" hidden="1" customWidth="1"/>
    <col min="2819" max="2820" width="9.6640625" customWidth="1"/>
    <col min="2823" max="2823" width="9.6640625" customWidth="1"/>
    <col min="2824" max="2824" width="11.6640625" customWidth="1"/>
    <col min="2825" max="2825" width="6.6640625" customWidth="1"/>
    <col min="2828" max="2828" width="0" hidden="1" customWidth="1"/>
    <col min="3075" max="3076" width="9.6640625" customWidth="1"/>
    <col min="3079" max="3079" width="9.6640625" customWidth="1"/>
    <col min="3080" max="3080" width="11.6640625" customWidth="1"/>
    <col min="3081" max="3081" width="6.6640625" customWidth="1"/>
    <col min="3084" max="3084" width="0" hidden="1" customWidth="1"/>
    <col min="3331" max="3332" width="9.6640625" customWidth="1"/>
    <col min="3335" max="3335" width="9.6640625" customWidth="1"/>
    <col min="3336" max="3336" width="11.6640625" customWidth="1"/>
    <col min="3337" max="3337" width="6.6640625" customWidth="1"/>
    <col min="3340" max="3340" width="0" hidden="1" customWidth="1"/>
    <col min="3587" max="3588" width="9.6640625" customWidth="1"/>
    <col min="3591" max="3591" width="9.6640625" customWidth="1"/>
    <col min="3592" max="3592" width="11.6640625" customWidth="1"/>
    <col min="3593" max="3593" width="6.6640625" customWidth="1"/>
    <col min="3596" max="3596" width="0" hidden="1" customWidth="1"/>
    <col min="3843" max="3844" width="9.6640625" customWidth="1"/>
    <col min="3847" max="3847" width="9.6640625" customWidth="1"/>
    <col min="3848" max="3848" width="11.6640625" customWidth="1"/>
    <col min="3849" max="3849" width="6.6640625" customWidth="1"/>
    <col min="3852" max="3852" width="0" hidden="1" customWidth="1"/>
    <col min="4099" max="4100" width="9.6640625" customWidth="1"/>
    <col min="4103" max="4103" width="9.6640625" customWidth="1"/>
    <col min="4104" max="4104" width="11.6640625" customWidth="1"/>
    <col min="4105" max="4105" width="6.6640625" customWidth="1"/>
    <col min="4108" max="4108" width="0" hidden="1" customWidth="1"/>
    <col min="4355" max="4356" width="9.6640625" customWidth="1"/>
    <col min="4359" max="4359" width="9.6640625" customWidth="1"/>
    <col min="4360" max="4360" width="11.6640625" customWidth="1"/>
    <col min="4361" max="4361" width="6.6640625" customWidth="1"/>
    <col min="4364" max="4364" width="0" hidden="1" customWidth="1"/>
    <col min="4611" max="4612" width="9.6640625" customWidth="1"/>
    <col min="4615" max="4615" width="9.6640625" customWidth="1"/>
    <col min="4616" max="4616" width="11.6640625" customWidth="1"/>
    <col min="4617" max="4617" width="6.6640625" customWidth="1"/>
    <col min="4620" max="4620" width="0" hidden="1" customWidth="1"/>
    <col min="4867" max="4868" width="9.6640625" customWidth="1"/>
    <col min="4871" max="4871" width="9.6640625" customWidth="1"/>
    <col min="4872" max="4872" width="11.6640625" customWidth="1"/>
    <col min="4873" max="4873" width="6.6640625" customWidth="1"/>
    <col min="4876" max="4876" width="0" hidden="1" customWidth="1"/>
    <col min="5123" max="5124" width="9.6640625" customWidth="1"/>
    <col min="5127" max="5127" width="9.6640625" customWidth="1"/>
    <col min="5128" max="5128" width="11.6640625" customWidth="1"/>
    <col min="5129" max="5129" width="6.6640625" customWidth="1"/>
    <col min="5132" max="5132" width="0" hidden="1" customWidth="1"/>
    <col min="5379" max="5380" width="9.6640625" customWidth="1"/>
    <col min="5383" max="5383" width="9.6640625" customWidth="1"/>
    <col min="5384" max="5384" width="11.6640625" customWidth="1"/>
    <col min="5385" max="5385" width="6.6640625" customWidth="1"/>
    <col min="5388" max="5388" width="0" hidden="1" customWidth="1"/>
    <col min="5635" max="5636" width="9.6640625" customWidth="1"/>
    <col min="5639" max="5639" width="9.6640625" customWidth="1"/>
    <col min="5640" max="5640" width="11.6640625" customWidth="1"/>
    <col min="5641" max="5641" width="6.6640625" customWidth="1"/>
    <col min="5644" max="5644" width="0" hidden="1" customWidth="1"/>
    <col min="5891" max="5892" width="9.6640625" customWidth="1"/>
    <col min="5895" max="5895" width="9.6640625" customWidth="1"/>
    <col min="5896" max="5896" width="11.6640625" customWidth="1"/>
    <col min="5897" max="5897" width="6.6640625" customWidth="1"/>
    <col min="5900" max="5900" width="0" hidden="1" customWidth="1"/>
    <col min="6147" max="6148" width="9.6640625" customWidth="1"/>
    <col min="6151" max="6151" width="9.6640625" customWidth="1"/>
    <col min="6152" max="6152" width="11.6640625" customWidth="1"/>
    <col min="6153" max="6153" width="6.6640625" customWidth="1"/>
    <col min="6156" max="6156" width="0" hidden="1" customWidth="1"/>
    <col min="6403" max="6404" width="9.6640625" customWidth="1"/>
    <col min="6407" max="6407" width="9.6640625" customWidth="1"/>
    <col min="6408" max="6408" width="11.6640625" customWidth="1"/>
    <col min="6409" max="6409" width="6.6640625" customWidth="1"/>
    <col min="6412" max="6412" width="0" hidden="1" customWidth="1"/>
    <col min="6659" max="6660" width="9.6640625" customWidth="1"/>
    <col min="6663" max="6663" width="9.6640625" customWidth="1"/>
    <col min="6664" max="6664" width="11.6640625" customWidth="1"/>
    <col min="6665" max="6665" width="6.6640625" customWidth="1"/>
    <col min="6668" max="6668" width="0" hidden="1" customWidth="1"/>
    <col min="6915" max="6916" width="9.6640625" customWidth="1"/>
    <col min="6919" max="6919" width="9.6640625" customWidth="1"/>
    <col min="6920" max="6920" width="11.6640625" customWidth="1"/>
    <col min="6921" max="6921" width="6.6640625" customWidth="1"/>
    <col min="6924" max="6924" width="0" hidden="1" customWidth="1"/>
    <col min="7171" max="7172" width="9.6640625" customWidth="1"/>
    <col min="7175" max="7175" width="9.6640625" customWidth="1"/>
    <col min="7176" max="7176" width="11.6640625" customWidth="1"/>
    <col min="7177" max="7177" width="6.6640625" customWidth="1"/>
    <col min="7180" max="7180" width="0" hidden="1" customWidth="1"/>
    <col min="7427" max="7428" width="9.6640625" customWidth="1"/>
    <col min="7431" max="7431" width="9.6640625" customWidth="1"/>
    <col min="7432" max="7432" width="11.6640625" customWidth="1"/>
    <col min="7433" max="7433" width="6.6640625" customWidth="1"/>
    <col min="7436" max="7436" width="0" hidden="1" customWidth="1"/>
    <col min="7683" max="7684" width="9.6640625" customWidth="1"/>
    <col min="7687" max="7687" width="9.6640625" customWidth="1"/>
    <col min="7688" max="7688" width="11.6640625" customWidth="1"/>
    <col min="7689" max="7689" width="6.6640625" customWidth="1"/>
    <col min="7692" max="7692" width="0" hidden="1" customWidth="1"/>
    <col min="7939" max="7940" width="9.6640625" customWidth="1"/>
    <col min="7943" max="7943" width="9.6640625" customWidth="1"/>
    <col min="7944" max="7944" width="11.6640625" customWidth="1"/>
    <col min="7945" max="7945" width="6.6640625" customWidth="1"/>
    <col min="7948" max="7948" width="0" hidden="1" customWidth="1"/>
    <col min="8195" max="8196" width="9.6640625" customWidth="1"/>
    <col min="8199" max="8199" width="9.6640625" customWidth="1"/>
    <col min="8200" max="8200" width="11.6640625" customWidth="1"/>
    <col min="8201" max="8201" width="6.6640625" customWidth="1"/>
    <col min="8204" max="8204" width="0" hidden="1" customWidth="1"/>
    <col min="8451" max="8452" width="9.6640625" customWidth="1"/>
    <col min="8455" max="8455" width="9.6640625" customWidth="1"/>
    <col min="8456" max="8456" width="11.6640625" customWidth="1"/>
    <col min="8457" max="8457" width="6.6640625" customWidth="1"/>
    <col min="8460" max="8460" width="0" hidden="1" customWidth="1"/>
    <col min="8707" max="8708" width="9.6640625" customWidth="1"/>
    <col min="8711" max="8711" width="9.6640625" customWidth="1"/>
    <col min="8712" max="8712" width="11.6640625" customWidth="1"/>
    <col min="8713" max="8713" width="6.6640625" customWidth="1"/>
    <col min="8716" max="8716" width="0" hidden="1" customWidth="1"/>
    <col min="8963" max="8964" width="9.6640625" customWidth="1"/>
    <col min="8967" max="8967" width="9.6640625" customWidth="1"/>
    <col min="8968" max="8968" width="11.6640625" customWidth="1"/>
    <col min="8969" max="8969" width="6.6640625" customWidth="1"/>
    <col min="8972" max="8972" width="0" hidden="1" customWidth="1"/>
    <col min="9219" max="9220" width="9.6640625" customWidth="1"/>
    <col min="9223" max="9223" width="9.6640625" customWidth="1"/>
    <col min="9224" max="9224" width="11.6640625" customWidth="1"/>
    <col min="9225" max="9225" width="6.6640625" customWidth="1"/>
    <col min="9228" max="9228" width="0" hidden="1" customWidth="1"/>
    <col min="9475" max="9476" width="9.6640625" customWidth="1"/>
    <col min="9479" max="9479" width="9.6640625" customWidth="1"/>
    <col min="9480" max="9480" width="11.6640625" customWidth="1"/>
    <col min="9481" max="9481" width="6.6640625" customWidth="1"/>
    <col min="9484" max="9484" width="0" hidden="1" customWidth="1"/>
    <col min="9731" max="9732" width="9.6640625" customWidth="1"/>
    <col min="9735" max="9735" width="9.6640625" customWidth="1"/>
    <col min="9736" max="9736" width="11.6640625" customWidth="1"/>
    <col min="9737" max="9737" width="6.6640625" customWidth="1"/>
    <col min="9740" max="9740" width="0" hidden="1" customWidth="1"/>
    <col min="9987" max="9988" width="9.6640625" customWidth="1"/>
    <col min="9991" max="9991" width="9.6640625" customWidth="1"/>
    <col min="9992" max="9992" width="11.6640625" customWidth="1"/>
    <col min="9993" max="9993" width="6.6640625" customWidth="1"/>
    <col min="9996" max="9996" width="0" hidden="1" customWidth="1"/>
    <col min="10243" max="10244" width="9.6640625" customWidth="1"/>
    <col min="10247" max="10247" width="9.6640625" customWidth="1"/>
    <col min="10248" max="10248" width="11.6640625" customWidth="1"/>
    <col min="10249" max="10249" width="6.6640625" customWidth="1"/>
    <col min="10252" max="10252" width="0" hidden="1" customWidth="1"/>
    <col min="10499" max="10500" width="9.6640625" customWidth="1"/>
    <col min="10503" max="10503" width="9.6640625" customWidth="1"/>
    <col min="10504" max="10504" width="11.6640625" customWidth="1"/>
    <col min="10505" max="10505" width="6.6640625" customWidth="1"/>
    <col min="10508" max="10508" width="0" hidden="1" customWidth="1"/>
    <col min="10755" max="10756" width="9.6640625" customWidth="1"/>
    <col min="10759" max="10759" width="9.6640625" customWidth="1"/>
    <col min="10760" max="10760" width="11.6640625" customWidth="1"/>
    <col min="10761" max="10761" width="6.6640625" customWidth="1"/>
    <col min="10764" max="10764" width="0" hidden="1" customWidth="1"/>
    <col min="11011" max="11012" width="9.6640625" customWidth="1"/>
    <col min="11015" max="11015" width="9.6640625" customWidth="1"/>
    <col min="11016" max="11016" width="11.6640625" customWidth="1"/>
    <col min="11017" max="11017" width="6.6640625" customWidth="1"/>
    <col min="11020" max="11020" width="0" hidden="1" customWidth="1"/>
    <col min="11267" max="11268" width="9.6640625" customWidth="1"/>
    <col min="11271" max="11271" width="9.6640625" customWidth="1"/>
    <col min="11272" max="11272" width="11.6640625" customWidth="1"/>
    <col min="11273" max="11273" width="6.6640625" customWidth="1"/>
    <col min="11276" max="11276" width="0" hidden="1" customWidth="1"/>
    <col min="11523" max="11524" width="9.6640625" customWidth="1"/>
    <col min="11527" max="11527" width="9.6640625" customWidth="1"/>
    <col min="11528" max="11528" width="11.6640625" customWidth="1"/>
    <col min="11529" max="11529" width="6.6640625" customWidth="1"/>
    <col min="11532" max="11532" width="0" hidden="1" customWidth="1"/>
    <col min="11779" max="11780" width="9.6640625" customWidth="1"/>
    <col min="11783" max="11783" width="9.6640625" customWidth="1"/>
    <col min="11784" max="11784" width="11.6640625" customWidth="1"/>
    <col min="11785" max="11785" width="6.6640625" customWidth="1"/>
    <col min="11788" max="11788" width="0" hidden="1" customWidth="1"/>
    <col min="12035" max="12036" width="9.6640625" customWidth="1"/>
    <col min="12039" max="12039" width="9.6640625" customWidth="1"/>
    <col min="12040" max="12040" width="11.6640625" customWidth="1"/>
    <col min="12041" max="12041" width="6.6640625" customWidth="1"/>
    <col min="12044" max="12044" width="0" hidden="1" customWidth="1"/>
    <col min="12291" max="12292" width="9.6640625" customWidth="1"/>
    <col min="12295" max="12295" width="9.6640625" customWidth="1"/>
    <col min="12296" max="12296" width="11.6640625" customWidth="1"/>
    <col min="12297" max="12297" width="6.6640625" customWidth="1"/>
    <col min="12300" max="12300" width="0" hidden="1" customWidth="1"/>
    <col min="12547" max="12548" width="9.6640625" customWidth="1"/>
    <col min="12551" max="12551" width="9.6640625" customWidth="1"/>
    <col min="12552" max="12552" width="11.6640625" customWidth="1"/>
    <col min="12553" max="12553" width="6.6640625" customWidth="1"/>
    <col min="12556" max="12556" width="0" hidden="1" customWidth="1"/>
    <col min="12803" max="12804" width="9.6640625" customWidth="1"/>
    <col min="12807" max="12807" width="9.6640625" customWidth="1"/>
    <col min="12808" max="12808" width="11.6640625" customWidth="1"/>
    <col min="12809" max="12809" width="6.6640625" customWidth="1"/>
    <col min="12812" max="12812" width="0" hidden="1" customWidth="1"/>
    <col min="13059" max="13060" width="9.6640625" customWidth="1"/>
    <col min="13063" max="13063" width="9.6640625" customWidth="1"/>
    <col min="13064" max="13064" width="11.6640625" customWidth="1"/>
    <col min="13065" max="13065" width="6.6640625" customWidth="1"/>
    <col min="13068" max="13068" width="0" hidden="1" customWidth="1"/>
    <col min="13315" max="13316" width="9.6640625" customWidth="1"/>
    <col min="13319" max="13319" width="9.6640625" customWidth="1"/>
    <col min="13320" max="13320" width="11.6640625" customWidth="1"/>
    <col min="13321" max="13321" width="6.6640625" customWidth="1"/>
    <col min="13324" max="13324" width="0" hidden="1" customWidth="1"/>
    <col min="13571" max="13572" width="9.6640625" customWidth="1"/>
    <col min="13575" max="13575" width="9.6640625" customWidth="1"/>
    <col min="13576" max="13576" width="11.6640625" customWidth="1"/>
    <col min="13577" max="13577" width="6.6640625" customWidth="1"/>
    <col min="13580" max="13580" width="0" hidden="1" customWidth="1"/>
    <col min="13827" max="13828" width="9.6640625" customWidth="1"/>
    <col min="13831" max="13831" width="9.6640625" customWidth="1"/>
    <col min="13832" max="13832" width="11.6640625" customWidth="1"/>
    <col min="13833" max="13833" width="6.6640625" customWidth="1"/>
    <col min="13836" max="13836" width="0" hidden="1" customWidth="1"/>
    <col min="14083" max="14084" width="9.6640625" customWidth="1"/>
    <col min="14087" max="14087" width="9.6640625" customWidth="1"/>
    <col min="14088" max="14088" width="11.6640625" customWidth="1"/>
    <col min="14089" max="14089" width="6.6640625" customWidth="1"/>
    <col min="14092" max="14092" width="0" hidden="1" customWidth="1"/>
    <col min="14339" max="14340" width="9.6640625" customWidth="1"/>
    <col min="14343" max="14343" width="9.6640625" customWidth="1"/>
    <col min="14344" max="14344" width="11.6640625" customWidth="1"/>
    <col min="14345" max="14345" width="6.6640625" customWidth="1"/>
    <col min="14348" max="14348" width="0" hidden="1" customWidth="1"/>
    <col min="14595" max="14596" width="9.6640625" customWidth="1"/>
    <col min="14599" max="14599" width="9.6640625" customWidth="1"/>
    <col min="14600" max="14600" width="11.6640625" customWidth="1"/>
    <col min="14601" max="14601" width="6.6640625" customWidth="1"/>
    <col min="14604" max="14604" width="0" hidden="1" customWidth="1"/>
    <col min="14851" max="14852" width="9.6640625" customWidth="1"/>
    <col min="14855" max="14855" width="9.6640625" customWidth="1"/>
    <col min="14856" max="14856" width="11.6640625" customWidth="1"/>
    <col min="14857" max="14857" width="6.6640625" customWidth="1"/>
    <col min="14860" max="14860" width="0" hidden="1" customWidth="1"/>
    <col min="15107" max="15108" width="9.6640625" customWidth="1"/>
    <col min="15111" max="15111" width="9.6640625" customWidth="1"/>
    <col min="15112" max="15112" width="11.6640625" customWidth="1"/>
    <col min="15113" max="15113" width="6.6640625" customWidth="1"/>
    <col min="15116" max="15116" width="0" hidden="1" customWidth="1"/>
    <col min="15363" max="15364" width="9.6640625" customWidth="1"/>
    <col min="15367" max="15367" width="9.6640625" customWidth="1"/>
    <col min="15368" max="15368" width="11.6640625" customWidth="1"/>
    <col min="15369" max="15369" width="6.6640625" customWidth="1"/>
    <col min="15372" max="15372" width="0" hidden="1" customWidth="1"/>
    <col min="15619" max="15620" width="9.6640625" customWidth="1"/>
    <col min="15623" max="15623" width="9.6640625" customWidth="1"/>
    <col min="15624" max="15624" width="11.6640625" customWidth="1"/>
    <col min="15625" max="15625" width="6.6640625" customWidth="1"/>
    <col min="15628" max="15628" width="0" hidden="1" customWidth="1"/>
    <col min="15875" max="15876" width="9.6640625" customWidth="1"/>
    <col min="15879" max="15879" width="9.6640625" customWidth="1"/>
    <col min="15880" max="15880" width="11.6640625" customWidth="1"/>
    <col min="15881" max="15881" width="6.6640625" customWidth="1"/>
    <col min="15884" max="15884" width="0" hidden="1" customWidth="1"/>
    <col min="16131" max="16132" width="9.6640625" customWidth="1"/>
    <col min="16135" max="16135" width="9.6640625" customWidth="1"/>
    <col min="16136" max="16136" width="11.6640625" customWidth="1"/>
    <col min="16137" max="16137" width="6.6640625" customWidth="1"/>
    <col min="16140" max="16140" width="0" hidden="1" customWidth="1"/>
  </cols>
  <sheetData>
    <row r="1" spans="1:12" ht="17.399999999999999">
      <c r="D1" s="43" t="str">
        <f>[8]step1!D1</f>
        <v>Future worth</v>
      </c>
    </row>
    <row r="2" spans="1:12" ht="17.399999999999999">
      <c r="D2" s="43" t="str">
        <f>[8]step1!D2</f>
        <v>Retirement plan problems</v>
      </c>
    </row>
    <row r="5" spans="1:12">
      <c r="B5" s="44" t="str">
        <f>[8]step1!B5</f>
        <v>Now that you are earning a good income, you decide to take you parent's advice</v>
      </c>
      <c r="C5" s="45"/>
      <c r="D5" s="45"/>
      <c r="E5" s="45"/>
      <c r="F5" s="45"/>
      <c r="G5" s="45"/>
      <c r="H5" s="45"/>
      <c r="I5" s="46"/>
    </row>
    <row r="6" spans="1:12">
      <c r="B6" s="47" t="str">
        <f>[8]step1!B6</f>
        <v>and start a retirement account.  You plan on investing $6000 you received this year</v>
      </c>
      <c r="C6" s="48"/>
      <c r="D6" s="48"/>
      <c r="E6" s="48"/>
      <c r="F6" s="48"/>
      <c r="G6" s="48"/>
      <c r="H6" s="49"/>
      <c r="I6" s="50"/>
    </row>
    <row r="7" spans="1:12">
      <c r="B7" s="47" t="str">
        <f>[8]step1!B7</f>
        <v>from your rich uncle's inheritance.  How much will you have in your retirement account</v>
      </c>
      <c r="C7" s="48"/>
      <c r="D7" s="48"/>
      <c r="E7" s="48"/>
      <c r="F7" s="48"/>
      <c r="G7" s="48"/>
      <c r="H7" s="48"/>
      <c r="I7" s="50"/>
      <c r="L7" s="179">
        <f>FV($D$21,$D$22,,-$D$23)</f>
        <v>21699.165210202878</v>
      </c>
    </row>
    <row r="8" spans="1:12">
      <c r="B8" s="47" t="str">
        <f>[8]step1!B8</f>
        <v>at the end of 19 years when you plan to retire.  Assume you invest the money in a</v>
      </c>
      <c r="C8" s="48"/>
      <c r="D8" s="48"/>
      <c r="E8" s="48"/>
      <c r="F8" s="48"/>
      <c r="G8" s="48"/>
      <c r="H8" s="48"/>
      <c r="I8" s="50"/>
      <c r="L8" s="127" t="s">
        <v>178</v>
      </c>
    </row>
    <row r="9" spans="1:12">
      <c r="B9" s="51" t="str">
        <f>[8]step1!B9</f>
        <v>fixed income fund earning 7% per year.</v>
      </c>
      <c r="C9" s="52"/>
      <c r="D9" s="52"/>
      <c r="E9" s="52"/>
      <c r="F9" s="52"/>
      <c r="G9" s="52"/>
      <c r="H9" s="52"/>
      <c r="I9" s="54"/>
      <c r="L9" s="128"/>
    </row>
    <row r="10" spans="1:12">
      <c r="F10" s="146"/>
      <c r="L10" s="179">
        <f>FV($D$21,$D$22,-$D$23)</f>
        <v>224273.78871718392</v>
      </c>
    </row>
    <row r="11" spans="1:12">
      <c r="L11" s="127" t="s">
        <v>179</v>
      </c>
    </row>
    <row r="12" spans="1:12" ht="15.6">
      <c r="A12" s="55" t="s">
        <v>97</v>
      </c>
      <c r="B12" s="56"/>
      <c r="C12" s="57"/>
      <c r="D12" s="57"/>
      <c r="E12" s="57"/>
      <c r="F12" s="57"/>
      <c r="G12" s="57"/>
      <c r="H12" s="57"/>
      <c r="I12" s="58"/>
    </row>
    <row r="13" spans="1:12" ht="15.6">
      <c r="A13" s="59"/>
      <c r="B13" s="60" t="s">
        <v>146</v>
      </c>
      <c r="I13" s="61"/>
    </row>
    <row r="14" spans="1:12">
      <c r="A14" s="62"/>
      <c r="B14" s="63"/>
      <c r="C14" s="63"/>
      <c r="D14" s="63"/>
      <c r="E14" s="63"/>
      <c r="F14" s="63"/>
      <c r="G14" s="63"/>
      <c r="H14" s="63"/>
      <c r="I14" s="64"/>
    </row>
    <row r="18" spans="2:12">
      <c r="F18" s="6"/>
      <c r="G18" s="130"/>
      <c r="H18" s="92"/>
    </row>
    <row r="19" spans="2:12">
      <c r="B19" s="78" t="s">
        <v>180</v>
      </c>
      <c r="C19" s="57"/>
      <c r="D19" s="180">
        <f>[8]step1!D19</f>
        <v>0</v>
      </c>
      <c r="F19" s="66" t="s">
        <v>181</v>
      </c>
      <c r="G19" s="144"/>
      <c r="H19" s="179">
        <f>FV($D$21,$D$22,,-$D$23)</f>
        <v>21699.165210202878</v>
      </c>
    </row>
    <row r="20" spans="2:12">
      <c r="B20" s="59"/>
      <c r="D20" s="61"/>
      <c r="G20" s="181"/>
      <c r="H20" s="127" t="s">
        <v>178</v>
      </c>
      <c r="K20" s="132"/>
      <c r="L20" s="84"/>
    </row>
    <row r="21" spans="2:12">
      <c r="B21" s="59" t="s">
        <v>182</v>
      </c>
      <c r="D21" s="182">
        <f>[8]step1!L10</f>
        <v>7.0000000000000007E-2</v>
      </c>
      <c r="G21" s="181"/>
      <c r="H21" s="84"/>
    </row>
    <row r="22" spans="2:12">
      <c r="B22" s="59" t="s">
        <v>183</v>
      </c>
      <c r="D22" s="183">
        <f>[8]step1!L8</f>
        <v>19</v>
      </c>
      <c r="G22" s="181"/>
      <c r="H22" s="84"/>
    </row>
    <row r="23" spans="2:12">
      <c r="B23" s="62" t="s">
        <v>184</v>
      </c>
      <c r="C23" s="140"/>
      <c r="D23" s="184">
        <f>[8]step1!L7</f>
        <v>6000</v>
      </c>
      <c r="G23" s="181"/>
      <c r="H23" s="84"/>
    </row>
    <row r="25" spans="2:12">
      <c r="D25" s="128"/>
      <c r="G25" s="65"/>
      <c r="I25" s="76"/>
    </row>
    <row r="26" spans="2:12" ht="17.399999999999999">
      <c r="B26" s="25" t="s">
        <v>117</v>
      </c>
    </row>
    <row r="27" spans="2:12">
      <c r="C27" s="74"/>
    </row>
    <row r="28" spans="2:12">
      <c r="C28" s="74"/>
    </row>
    <row r="29" spans="2:12">
      <c r="C29" s="74"/>
      <c r="G29" s="74"/>
    </row>
    <row r="30" spans="2:12">
      <c r="C30" s="74"/>
    </row>
    <row r="31" spans="2:12">
      <c r="C31" s="74"/>
      <c r="G31" s="65"/>
    </row>
    <row r="32" spans="2:12">
      <c r="C32" s="74"/>
    </row>
    <row r="33" spans="3:8">
      <c r="C33" s="74"/>
      <c r="G33" s="76"/>
      <c r="H33" s="77"/>
    </row>
    <row r="34" spans="3:8">
      <c r="C34" s="74"/>
    </row>
    <row r="35" spans="3:8">
      <c r="C35" s="74"/>
    </row>
    <row r="36" spans="3:8">
      <c r="C36" s="74"/>
    </row>
    <row r="37" spans="3:8">
      <c r="C37" s="74"/>
    </row>
    <row r="38" spans="3:8">
      <c r="C38" s="74"/>
    </row>
    <row r="39" spans="3:8">
      <c r="C39" s="74"/>
    </row>
    <row r="40" spans="3:8">
      <c r="C40" s="74"/>
    </row>
    <row r="41" spans="3:8">
      <c r="C41" s="74"/>
    </row>
    <row r="42" spans="3:8">
      <c r="C42" s="74"/>
    </row>
    <row r="43" spans="3:8">
      <c r="D43" s="7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lpstr>Sheet19</vt:lpstr>
      <vt:lpstr>Sheet201</vt:lpstr>
      <vt:lpstr>Sheet21</vt:lpstr>
      <vt:lpstr>Sheet22</vt:lpstr>
      <vt:lpstr>Sheet23</vt:lpstr>
      <vt:lpstr>Sheet24</vt:lpstr>
      <vt:lpstr>Sheet25</vt:lpstr>
      <vt:lpstr>Sheet26</vt:lpstr>
      <vt:lpstr>Sheet27</vt:lpstr>
      <vt:lpstr>Sheet20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19498</dc:creator>
  <cp:lastModifiedBy>19498</cp:lastModifiedBy>
  <dcterms:created xsi:type="dcterms:W3CDTF">2023-02-08T22:53:26Z</dcterms:created>
  <dcterms:modified xsi:type="dcterms:W3CDTF">2023-02-08T23:16:37Z</dcterms:modified>
</cp:coreProperties>
</file>