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2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drawings/drawing30.xml" ContentType="application/vnd.openxmlformats-officedocument.drawing+xml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31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drawings/drawing32.xml" ContentType="application/vnd.openxmlformats-officedocument.drawing+xml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drawings/drawing33.xml" ContentType="application/vnd.openxmlformats-officedocument.drawing+xml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.xml" ContentType="application/vnd.openxmlformats-officedocument.spreadsheetml.comments+xml"/>
  <Override PartName="/xl/drawings/drawing4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6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7.xml" ContentType="application/vnd.openxmlformats-officedocument.drawing+xml"/>
  <Override PartName="/xl/charts/chart10.xml" ContentType="application/vnd.openxmlformats-officedocument.drawingml.chart+xml"/>
  <Override PartName="/xl/drawings/drawing48.xml" ContentType="application/vnd.openxmlformats-officedocument.drawing+xml"/>
  <Override PartName="/xl/charts/chart11.xml" ContentType="application/vnd.openxmlformats-officedocument.drawingml.chart+xml"/>
  <Override PartName="/xl/drawings/drawing49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0.xml" ContentType="application/vnd.openxmlformats-officedocument.drawingml.chartshapes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1.xml" ContentType="application/vnd.openxmlformats-officedocument.drawing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2.xml" ContentType="application/vnd.openxmlformats-officedocument.drawingml.chartshapes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showSheetTabs="0" xWindow="0" yWindow="0" windowWidth="23970" windowHeight="14070" tabRatio="772"/>
  </bookViews>
  <sheets>
    <sheet name="Outcomes Master (2)" sheetId="65" r:id="rId1"/>
    <sheet name="Outcomes Master" sheetId="43" r:id="rId2"/>
    <sheet name="SalesPerson Economics" sheetId="63" r:id="rId3"/>
    <sheet name="Outcomes" sheetId="51" r:id="rId4"/>
    <sheet name="Implementation Current Current" sheetId="46" r:id="rId5"/>
    <sheet name="Gap Analysis" sheetId="47" r:id="rId6"/>
    <sheet name="Implementation Modified Modifie" sheetId="45" r:id="rId7"/>
    <sheet name="Implementation Modified Current" sheetId="48" r:id="rId8"/>
    <sheet name="Implementation Current Modified" sheetId="44" r:id="rId9"/>
    <sheet name="Step 15" sheetId="31" r:id="rId10"/>
    <sheet name="Step 14" sheetId="30" r:id="rId11"/>
    <sheet name="Step 13" sheetId="29" r:id="rId12"/>
    <sheet name="Step 12" sheetId="28" r:id="rId13"/>
    <sheet name="Step 11" sheetId="27" r:id="rId14"/>
    <sheet name="Step 10" sheetId="26" r:id="rId15"/>
    <sheet name="Step 9" sheetId="25" r:id="rId16"/>
    <sheet name="Step 8" sheetId="24" r:id="rId17"/>
    <sheet name="Step 7" sheetId="23" r:id="rId18"/>
    <sheet name="Step 6" sheetId="22" r:id="rId19"/>
    <sheet name="Step 5" sheetId="20" r:id="rId20"/>
    <sheet name="Step 4 a" sheetId="32" r:id="rId21"/>
    <sheet name="Step MC" sheetId="35" r:id="rId22"/>
    <sheet name="Step CM" sheetId="34" r:id="rId23"/>
    <sheet name="Step MM" sheetId="36" r:id="rId24"/>
    <sheet name="Step CC" sheetId="33" r:id="rId25"/>
    <sheet name="Risks" sheetId="37" r:id="rId26"/>
    <sheet name="Business Dev. Strategy" sheetId="21" r:id="rId27"/>
    <sheet name="Master Business Mode" sheetId="19" r:id="rId28"/>
    <sheet name="Strategic Thrust" sheetId="17" r:id="rId29"/>
    <sheet name="Consolidated Outcomes" sheetId="57" r:id="rId30"/>
    <sheet name="Outcome Current Modified" sheetId="56" r:id="rId31"/>
    <sheet name="Outcome Modified Current" sheetId="55" r:id="rId32"/>
    <sheet name="Outcome Current Current" sheetId="54" r:id="rId33"/>
    <sheet name="Outcome Modified Modified" sheetId="53" r:id="rId34"/>
    <sheet name="Series A Targets" sheetId="16" r:id="rId35"/>
    <sheet name="First Page" sheetId="12" r:id="rId36"/>
    <sheet name=" Modified Modified" sheetId="41" r:id="rId37"/>
    <sheet name=" Modified Current" sheetId="40" r:id="rId38"/>
    <sheet name="Current Modified" sheetId="39" r:id="rId39"/>
    <sheet name="Current Current" sheetId="38" r:id="rId40"/>
    <sheet name="Purpose" sheetId="14" r:id="rId41"/>
    <sheet name="Content" sheetId="13" r:id="rId42"/>
    <sheet name="Implementation" sheetId="42" r:id="rId43"/>
    <sheet name="Congruity of Thought" sheetId="15" r:id="rId44"/>
    <sheet name="Summary" sheetId="4" r:id="rId45"/>
    <sheet name="Valuations &gt;&gt;&gt;&gt;" sheetId="7" r:id="rId46"/>
    <sheet name="Pre-Revenue" sheetId="3" r:id="rId47"/>
    <sheet name="SaaS (Near-Term Forecast)" sheetId="1" r:id="rId48"/>
    <sheet name="Exit Approach" sheetId="5" r:id="rId49"/>
    <sheet name="Exit Approach Details &gt;&gt;&gt;" sheetId="8" r:id="rId50"/>
    <sheet name="Proforma" sheetId="9" r:id="rId51"/>
    <sheet name="Assumptions" sheetId="10" r:id="rId52"/>
    <sheet name="Monthly" sheetId="11" r:id="rId53"/>
    <sheet name="Sheet1" sheetId="58" r:id="rId54"/>
    <sheet name="Sheet2" sheetId="59" r:id="rId55"/>
    <sheet name="Sheet3" sheetId="60" r:id="rId56"/>
    <sheet name="Sheet4" sheetId="61" r:id="rId57"/>
    <sheet name="Sheet5" sheetId="62" r:id="rId58"/>
    <sheet name="Sheet7" sheetId="64" r:id="rId59"/>
  </sheets>
  <externalReferences>
    <externalReference r:id="rId60"/>
    <externalReference r:id="rId61"/>
  </externalReferenc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1" i="65" l="1"/>
  <c r="R22" i="65"/>
  <c r="T22" i="65"/>
  <c r="V22" i="65"/>
  <c r="Y22" i="65"/>
  <c r="S36" i="65"/>
  <c r="K16" i="65"/>
  <c r="K10" i="65"/>
  <c r="K21" i="65"/>
  <c r="K26" i="65"/>
  <c r="S41" i="65"/>
  <c r="K31" i="65"/>
  <c r="K36" i="65"/>
  <c r="K41" i="65"/>
  <c r="AT30" i="65"/>
  <c r="R18" i="65"/>
  <c r="R14" i="65"/>
  <c r="R10" i="65"/>
  <c r="T18" i="65"/>
  <c r="V18" i="65"/>
  <c r="Y18" i="65"/>
  <c r="T14" i="65"/>
  <c r="V14" i="65"/>
  <c r="Y14" i="65"/>
  <c r="T10" i="65"/>
  <c r="V10" i="65"/>
  <c r="Y10" i="65"/>
  <c r="H31" i="43"/>
  <c r="H37" i="43"/>
  <c r="H27" i="43"/>
  <c r="H22" i="43"/>
  <c r="P22" i="43"/>
  <c r="R22" i="43"/>
  <c r="N22" i="43"/>
  <c r="U22" i="43"/>
  <c r="N26" i="43"/>
  <c r="N31" i="43"/>
  <c r="H15" i="43"/>
  <c r="N35" i="43"/>
  <c r="N39" i="43"/>
  <c r="AD32" i="43"/>
  <c r="AB32" i="43"/>
  <c r="AF32" i="43"/>
  <c r="N18" i="43"/>
  <c r="AD31" i="43"/>
  <c r="AB31" i="43"/>
  <c r="AF31" i="43"/>
  <c r="N14" i="43"/>
  <c r="AD30" i="43"/>
  <c r="AB30" i="43"/>
  <c r="AF30" i="43"/>
  <c r="N10" i="43"/>
  <c r="AD29" i="43"/>
  <c r="AB29" i="43"/>
  <c r="AF29" i="43"/>
  <c r="R32" i="43"/>
  <c r="R31" i="43"/>
  <c r="R30" i="43"/>
  <c r="R29" i="43"/>
  <c r="AA22" i="43"/>
  <c r="P18" i="43"/>
  <c r="R18" i="43"/>
  <c r="U18" i="43"/>
  <c r="AA18" i="43"/>
  <c r="P14" i="43"/>
  <c r="R14" i="43"/>
  <c r="U14" i="43"/>
  <c r="AA14" i="43"/>
  <c r="P10" i="43"/>
  <c r="R10" i="43"/>
  <c r="U10" i="43"/>
  <c r="AA10" i="43"/>
  <c r="B14" i="63"/>
  <c r="E23" i="63"/>
  <c r="D22" i="63"/>
  <c r="E26" i="63"/>
  <c r="E25" i="63"/>
  <c r="D26" i="63"/>
  <c r="E24" i="63"/>
  <c r="C12" i="1"/>
  <c r="C25" i="1"/>
  <c r="C14" i="1"/>
  <c r="C26" i="1"/>
  <c r="C28" i="1"/>
  <c r="C30" i="1"/>
  <c r="H19" i="63"/>
  <c r="H18" i="63"/>
  <c r="I17" i="63"/>
  <c r="D2" i="63"/>
  <c r="F2" i="63"/>
  <c r="D3" i="63"/>
  <c r="F3" i="63"/>
  <c r="D4" i="63"/>
  <c r="F4" i="63"/>
  <c r="D5" i="63"/>
  <c r="F5" i="63"/>
  <c r="D6" i="63"/>
  <c r="F6" i="63"/>
  <c r="D7" i="63"/>
  <c r="F7" i="63"/>
  <c r="D8" i="63"/>
  <c r="F8" i="63"/>
  <c r="D9" i="63"/>
  <c r="F9" i="63"/>
  <c r="D10" i="63"/>
  <c r="F10" i="63"/>
  <c r="D11" i="63"/>
  <c r="F11" i="63"/>
  <c r="D12" i="63"/>
  <c r="F12" i="63"/>
  <c r="D13" i="63"/>
  <c r="F13" i="63"/>
  <c r="F14" i="63"/>
  <c r="F16" i="63"/>
  <c r="G16" i="63"/>
  <c r="H16" i="63"/>
  <c r="B21" i="63"/>
  <c r="B22" i="63"/>
  <c r="C22" i="63"/>
  <c r="B23" i="63"/>
  <c r="C23" i="63"/>
  <c r="D23" i="63"/>
  <c r="D24" i="63"/>
  <c r="G2" i="63"/>
  <c r="I2" i="63"/>
  <c r="G3" i="63"/>
  <c r="I3" i="63"/>
  <c r="G4" i="63"/>
  <c r="I4" i="63"/>
  <c r="G5" i="63"/>
  <c r="I5" i="63"/>
  <c r="G6" i="63"/>
  <c r="I6" i="63"/>
  <c r="G7" i="63"/>
  <c r="I7" i="63"/>
  <c r="G8" i="63"/>
  <c r="I8" i="63"/>
  <c r="G9" i="63"/>
  <c r="I9" i="63"/>
  <c r="G10" i="63"/>
  <c r="I10" i="63"/>
  <c r="G11" i="63"/>
  <c r="I11" i="63"/>
  <c r="G12" i="63"/>
  <c r="I12" i="63"/>
  <c r="G13" i="63"/>
  <c r="I13" i="63"/>
  <c r="I14" i="63"/>
  <c r="I54" i="62"/>
  <c r="I60" i="62"/>
  <c r="H54" i="62"/>
  <c r="H60" i="62"/>
  <c r="G54" i="62"/>
  <c r="G60" i="62"/>
  <c r="F54" i="62"/>
  <c r="F60" i="62"/>
  <c r="E54" i="62"/>
  <c r="E60" i="62"/>
  <c r="D54" i="62"/>
  <c r="D60" i="62"/>
  <c r="I51" i="62"/>
  <c r="I59" i="62"/>
  <c r="H51" i="62"/>
  <c r="H59" i="62"/>
  <c r="G51" i="62"/>
  <c r="G59" i="62"/>
  <c r="F51" i="62"/>
  <c r="F59" i="62"/>
  <c r="E51" i="62"/>
  <c r="E59" i="62"/>
  <c r="D51" i="62"/>
  <c r="D59" i="62"/>
  <c r="I41" i="62"/>
  <c r="I43" i="62"/>
  <c r="H41" i="62"/>
  <c r="H43" i="62"/>
  <c r="G41" i="62"/>
  <c r="G43" i="62"/>
  <c r="F41" i="62"/>
  <c r="F43" i="62"/>
  <c r="E41" i="62"/>
  <c r="E43" i="62"/>
  <c r="D41" i="62"/>
  <c r="D43" i="62"/>
  <c r="I40" i="62"/>
  <c r="I42" i="62"/>
  <c r="H40" i="62"/>
  <c r="H42" i="62"/>
  <c r="G40" i="62"/>
  <c r="G42" i="62"/>
  <c r="F40" i="62"/>
  <c r="F42" i="62"/>
  <c r="E40" i="62"/>
  <c r="E42" i="62"/>
  <c r="D40" i="62"/>
  <c r="D42" i="62"/>
  <c r="C20" i="62"/>
  <c r="D17" i="62"/>
  <c r="D20" i="62"/>
  <c r="E17" i="62"/>
  <c r="E20" i="62"/>
  <c r="F17" i="62"/>
  <c r="F20" i="62"/>
  <c r="G17" i="62"/>
  <c r="G20" i="62"/>
  <c r="H17" i="62"/>
  <c r="H20" i="62"/>
  <c r="I19" i="62"/>
  <c r="I31" i="62"/>
  <c r="H19" i="62"/>
  <c r="H31" i="62"/>
  <c r="G19" i="62"/>
  <c r="G31" i="62"/>
  <c r="F19" i="62"/>
  <c r="F31" i="62"/>
  <c r="E19" i="62"/>
  <c r="E31" i="62"/>
  <c r="D19" i="62"/>
  <c r="D31" i="62"/>
  <c r="D26" i="62"/>
  <c r="D23" i="62"/>
  <c r="E25" i="62"/>
  <c r="E26" i="62"/>
  <c r="E23" i="62"/>
  <c r="F25" i="62"/>
  <c r="F26" i="62"/>
  <c r="F23" i="62"/>
  <c r="G25" i="62"/>
  <c r="G26" i="62"/>
  <c r="G23" i="62"/>
  <c r="H25" i="62"/>
  <c r="H26" i="62"/>
  <c r="H23" i="62"/>
  <c r="I25" i="62"/>
  <c r="I28" i="62"/>
  <c r="H28" i="62"/>
  <c r="G28" i="62"/>
  <c r="F28" i="62"/>
  <c r="E28" i="62"/>
  <c r="D28" i="62"/>
  <c r="I26" i="62"/>
  <c r="I23" i="62"/>
  <c r="I17" i="62"/>
  <c r="I20" i="62"/>
  <c r="I60" i="61"/>
  <c r="H60" i="61"/>
  <c r="G60" i="61"/>
  <c r="F60" i="61"/>
  <c r="E60" i="61"/>
  <c r="D60" i="61"/>
  <c r="I59" i="61"/>
  <c r="H59" i="61"/>
  <c r="G59" i="61"/>
  <c r="F59" i="61"/>
  <c r="E59" i="61"/>
  <c r="D59" i="61"/>
  <c r="I41" i="61"/>
  <c r="I43" i="61"/>
  <c r="H41" i="61"/>
  <c r="H43" i="61"/>
  <c r="G41" i="61"/>
  <c r="G43" i="61"/>
  <c r="F41" i="61"/>
  <c r="F43" i="61"/>
  <c r="E41" i="61"/>
  <c r="E43" i="61"/>
  <c r="D41" i="61"/>
  <c r="D43" i="61"/>
  <c r="I40" i="61"/>
  <c r="I42" i="61"/>
  <c r="H40" i="61"/>
  <c r="H42" i="61"/>
  <c r="G40" i="61"/>
  <c r="G42" i="61"/>
  <c r="F40" i="61"/>
  <c r="F42" i="61"/>
  <c r="E40" i="61"/>
  <c r="E42" i="61"/>
  <c r="D40" i="61"/>
  <c r="D42" i="61"/>
  <c r="D19" i="61"/>
  <c r="D22" i="61"/>
  <c r="E19" i="61"/>
  <c r="E22" i="61"/>
  <c r="F19" i="61"/>
  <c r="F22" i="61"/>
  <c r="G19" i="61"/>
  <c r="G22" i="61"/>
  <c r="H19" i="61"/>
  <c r="H22" i="61"/>
  <c r="I21" i="61"/>
  <c r="I34" i="61"/>
  <c r="H21" i="61"/>
  <c r="H34" i="61"/>
  <c r="G21" i="61"/>
  <c r="G34" i="61"/>
  <c r="F21" i="61"/>
  <c r="F34" i="61"/>
  <c r="E21" i="61"/>
  <c r="E34" i="61"/>
  <c r="D34" i="61"/>
  <c r="D29" i="61"/>
  <c r="D26" i="61"/>
  <c r="E28" i="61"/>
  <c r="E29" i="61"/>
  <c r="E26" i="61"/>
  <c r="F28" i="61"/>
  <c r="F29" i="61"/>
  <c r="F26" i="61"/>
  <c r="G28" i="61"/>
  <c r="G29" i="61"/>
  <c r="G26" i="61"/>
  <c r="H28" i="61"/>
  <c r="H29" i="61"/>
  <c r="H26" i="61"/>
  <c r="I28" i="61"/>
  <c r="I31" i="61"/>
  <c r="H31" i="61"/>
  <c r="G31" i="61"/>
  <c r="F31" i="61"/>
  <c r="E31" i="61"/>
  <c r="D31" i="61"/>
  <c r="I29" i="61"/>
  <c r="I26" i="61"/>
  <c r="I19" i="61"/>
  <c r="I22" i="61"/>
  <c r="I23" i="61"/>
  <c r="H23" i="61"/>
  <c r="G23" i="61"/>
  <c r="F23" i="61"/>
  <c r="E23" i="61"/>
  <c r="D23" i="61"/>
  <c r="C23" i="61"/>
  <c r="AO185" i="58"/>
  <c r="AN184" i="58"/>
  <c r="AO184" i="58"/>
  <c r="AM183" i="58"/>
  <c r="AN183" i="58"/>
  <c r="AO183" i="58"/>
  <c r="AL182" i="58"/>
  <c r="AM182" i="58"/>
  <c r="AN182" i="58"/>
  <c r="AO182" i="58"/>
  <c r="AK181" i="58"/>
  <c r="AL181" i="58"/>
  <c r="AM181" i="58"/>
  <c r="AN181" i="58"/>
  <c r="AO181" i="58"/>
  <c r="AJ180" i="58"/>
  <c r="AK180" i="58"/>
  <c r="AL180" i="58"/>
  <c r="AM180" i="58"/>
  <c r="AN180" i="58"/>
  <c r="AO180" i="58"/>
  <c r="AI179" i="58"/>
  <c r="AJ179" i="58"/>
  <c r="AK179" i="58"/>
  <c r="AL179" i="58"/>
  <c r="AM179" i="58"/>
  <c r="AN179" i="58"/>
  <c r="AO179" i="58"/>
  <c r="AH178" i="58"/>
  <c r="AI178" i="58"/>
  <c r="AJ178" i="58"/>
  <c r="AK178" i="58"/>
  <c r="AL178" i="58"/>
  <c r="AM178" i="58"/>
  <c r="AN178" i="58"/>
  <c r="AO178" i="58"/>
  <c r="AG177" i="58"/>
  <c r="AH177" i="58"/>
  <c r="AI177" i="58"/>
  <c r="AJ177" i="58"/>
  <c r="AK177" i="58"/>
  <c r="AL177" i="58"/>
  <c r="AM177" i="58"/>
  <c r="AN177" i="58"/>
  <c r="AO177" i="58"/>
  <c r="AF176" i="58"/>
  <c r="AG176" i="58"/>
  <c r="AH176" i="58"/>
  <c r="AI176" i="58"/>
  <c r="AJ176" i="58"/>
  <c r="AK176" i="58"/>
  <c r="AL176" i="58"/>
  <c r="AM176" i="58"/>
  <c r="AN176" i="58"/>
  <c r="AO176" i="58"/>
  <c r="AE175" i="58"/>
  <c r="AF175" i="58"/>
  <c r="AG175" i="58"/>
  <c r="AH175" i="58"/>
  <c r="AI175" i="58"/>
  <c r="AJ175" i="58"/>
  <c r="AK175" i="58"/>
  <c r="AL175" i="58"/>
  <c r="AM175" i="58"/>
  <c r="AN175" i="58"/>
  <c r="AO175" i="58"/>
  <c r="AD174" i="58"/>
  <c r="AE174" i="58"/>
  <c r="AF174" i="58"/>
  <c r="AG174" i="58"/>
  <c r="AH174" i="58"/>
  <c r="AI174" i="58"/>
  <c r="AJ174" i="58"/>
  <c r="AK174" i="58"/>
  <c r="AL174" i="58"/>
  <c r="AM174" i="58"/>
  <c r="AN174" i="58"/>
  <c r="AO174" i="58"/>
  <c r="AC173" i="58"/>
  <c r="AD173" i="58"/>
  <c r="AE173" i="58"/>
  <c r="AF173" i="58"/>
  <c r="AG173" i="58"/>
  <c r="AH173" i="58"/>
  <c r="AI173" i="58"/>
  <c r="AJ173" i="58"/>
  <c r="AK173" i="58"/>
  <c r="AL173" i="58"/>
  <c r="AM173" i="58"/>
  <c r="AN173" i="58"/>
  <c r="AO173" i="58"/>
  <c r="AB172" i="58"/>
  <c r="AC172" i="58"/>
  <c r="AD172" i="58"/>
  <c r="AE172" i="58"/>
  <c r="AF172" i="58"/>
  <c r="AG172" i="58"/>
  <c r="AH172" i="58"/>
  <c r="AI172" i="58"/>
  <c r="AJ172" i="58"/>
  <c r="AK172" i="58"/>
  <c r="AL172" i="58"/>
  <c r="AM172" i="58"/>
  <c r="AN172" i="58"/>
  <c r="AO172" i="58"/>
  <c r="AA171" i="58"/>
  <c r="AB171" i="58"/>
  <c r="AC171" i="58"/>
  <c r="AD171" i="58"/>
  <c r="AE171" i="58"/>
  <c r="AF171" i="58"/>
  <c r="AG171" i="58"/>
  <c r="AH171" i="58"/>
  <c r="AI171" i="58"/>
  <c r="AJ171" i="58"/>
  <c r="AK171" i="58"/>
  <c r="AL171" i="58"/>
  <c r="AM171" i="58"/>
  <c r="AN171" i="58"/>
  <c r="AO171" i="58"/>
  <c r="Z170" i="58"/>
  <c r="AA170" i="58"/>
  <c r="AB170" i="58"/>
  <c r="AC170" i="58"/>
  <c r="AD170" i="58"/>
  <c r="AE170" i="58"/>
  <c r="AF170" i="58"/>
  <c r="AG170" i="58"/>
  <c r="AH170" i="58"/>
  <c r="AI170" i="58"/>
  <c r="AJ170" i="58"/>
  <c r="AK170" i="58"/>
  <c r="AL170" i="58"/>
  <c r="AM170" i="58"/>
  <c r="AN170" i="58"/>
  <c r="AO170" i="58"/>
  <c r="Y169" i="58"/>
  <c r="Z169" i="58"/>
  <c r="AA169" i="58"/>
  <c r="AB169" i="58"/>
  <c r="AC169" i="58"/>
  <c r="AD169" i="58"/>
  <c r="AE169" i="58"/>
  <c r="AF169" i="58"/>
  <c r="AG169" i="58"/>
  <c r="AH169" i="58"/>
  <c r="AI169" i="58"/>
  <c r="AJ169" i="58"/>
  <c r="AK169" i="58"/>
  <c r="AL169" i="58"/>
  <c r="AM169" i="58"/>
  <c r="AN169" i="58"/>
  <c r="AO169" i="58"/>
  <c r="X168" i="58"/>
  <c r="Y168" i="58"/>
  <c r="Z168" i="58"/>
  <c r="AA168" i="58"/>
  <c r="AB168" i="58"/>
  <c r="AC168" i="58"/>
  <c r="AD168" i="58"/>
  <c r="AE168" i="58"/>
  <c r="AF168" i="58"/>
  <c r="AG168" i="58"/>
  <c r="AH168" i="58"/>
  <c r="AI168" i="58"/>
  <c r="AJ168" i="58"/>
  <c r="AK168" i="58"/>
  <c r="AL168" i="58"/>
  <c r="AM168" i="58"/>
  <c r="AN168" i="58"/>
  <c r="AO168" i="58"/>
  <c r="W167" i="58"/>
  <c r="X167" i="58"/>
  <c r="Y167" i="58"/>
  <c r="Z167" i="58"/>
  <c r="AA167" i="58"/>
  <c r="AB167" i="58"/>
  <c r="AC167" i="58"/>
  <c r="AD167" i="58"/>
  <c r="AE167" i="58"/>
  <c r="AF167" i="58"/>
  <c r="AG167" i="58"/>
  <c r="AH167" i="58"/>
  <c r="AI167" i="58"/>
  <c r="AJ167" i="58"/>
  <c r="AK167" i="58"/>
  <c r="AL167" i="58"/>
  <c r="AM167" i="58"/>
  <c r="AN167" i="58"/>
  <c r="AO167" i="58"/>
  <c r="V166" i="58"/>
  <c r="W166" i="58"/>
  <c r="X166" i="58"/>
  <c r="Y166" i="58"/>
  <c r="Z166" i="58"/>
  <c r="AA166" i="58"/>
  <c r="AB166" i="58"/>
  <c r="AC166" i="58"/>
  <c r="AD166" i="58"/>
  <c r="AE166" i="58"/>
  <c r="AF166" i="58"/>
  <c r="AG166" i="58"/>
  <c r="AH166" i="58"/>
  <c r="AI166" i="58"/>
  <c r="AJ166" i="58"/>
  <c r="AK166" i="58"/>
  <c r="AL166" i="58"/>
  <c r="AM166" i="58"/>
  <c r="AN166" i="58"/>
  <c r="AO166" i="58"/>
  <c r="U165" i="58"/>
  <c r="V165" i="58"/>
  <c r="W165" i="58"/>
  <c r="X165" i="58"/>
  <c r="Y165" i="58"/>
  <c r="Z165" i="58"/>
  <c r="AA165" i="58"/>
  <c r="AB165" i="58"/>
  <c r="AC165" i="58"/>
  <c r="AD165" i="58"/>
  <c r="AE165" i="58"/>
  <c r="AF165" i="58"/>
  <c r="AG165" i="58"/>
  <c r="AH165" i="58"/>
  <c r="AI165" i="58"/>
  <c r="AJ165" i="58"/>
  <c r="AK165" i="58"/>
  <c r="AL165" i="58"/>
  <c r="AM165" i="58"/>
  <c r="AN165" i="58"/>
  <c r="AO165" i="58"/>
  <c r="T164" i="58"/>
  <c r="U164" i="58"/>
  <c r="V164" i="58"/>
  <c r="W164" i="58"/>
  <c r="X164" i="58"/>
  <c r="Y164" i="58"/>
  <c r="Z164" i="58"/>
  <c r="AA164" i="58"/>
  <c r="AB164" i="58"/>
  <c r="AC164" i="58"/>
  <c r="AD164" i="58"/>
  <c r="AE164" i="58"/>
  <c r="AF164" i="58"/>
  <c r="AG164" i="58"/>
  <c r="AH164" i="58"/>
  <c r="AI164" i="58"/>
  <c r="AJ164" i="58"/>
  <c r="AK164" i="58"/>
  <c r="AL164" i="58"/>
  <c r="AM164" i="58"/>
  <c r="AN164" i="58"/>
  <c r="AO164" i="58"/>
  <c r="S163" i="58"/>
  <c r="T163" i="58"/>
  <c r="U163" i="58"/>
  <c r="V163" i="58"/>
  <c r="W163" i="58"/>
  <c r="X163" i="58"/>
  <c r="Y163" i="58"/>
  <c r="Z163" i="58"/>
  <c r="AA163" i="58"/>
  <c r="AB163" i="58"/>
  <c r="AC163" i="58"/>
  <c r="AD163" i="58"/>
  <c r="AE163" i="58"/>
  <c r="AF163" i="58"/>
  <c r="AG163" i="58"/>
  <c r="AH163" i="58"/>
  <c r="AI163" i="58"/>
  <c r="AJ163" i="58"/>
  <c r="AK163" i="58"/>
  <c r="AL163" i="58"/>
  <c r="AM163" i="58"/>
  <c r="AN163" i="58"/>
  <c r="AO163" i="58"/>
  <c r="R162" i="58"/>
  <c r="S162" i="58"/>
  <c r="T162" i="58"/>
  <c r="U162" i="58"/>
  <c r="V162" i="58"/>
  <c r="W162" i="58"/>
  <c r="X162" i="58"/>
  <c r="Y162" i="58"/>
  <c r="Z162" i="58"/>
  <c r="AA162" i="58"/>
  <c r="AB162" i="58"/>
  <c r="AC162" i="58"/>
  <c r="AD162" i="58"/>
  <c r="AE162" i="58"/>
  <c r="AF162" i="58"/>
  <c r="AG162" i="58"/>
  <c r="AH162" i="58"/>
  <c r="AI162" i="58"/>
  <c r="AJ162" i="58"/>
  <c r="AK162" i="58"/>
  <c r="AL162" i="58"/>
  <c r="AM162" i="58"/>
  <c r="AN162" i="58"/>
  <c r="AO162" i="58"/>
  <c r="Q161" i="58"/>
  <c r="R161" i="58"/>
  <c r="S161" i="58"/>
  <c r="T161" i="58"/>
  <c r="U161" i="58"/>
  <c r="V161" i="58"/>
  <c r="W161" i="58"/>
  <c r="X161" i="58"/>
  <c r="Y161" i="58"/>
  <c r="Z161" i="58"/>
  <c r="AA161" i="58"/>
  <c r="AB161" i="58"/>
  <c r="AC161" i="58"/>
  <c r="AD161" i="58"/>
  <c r="AE161" i="58"/>
  <c r="AF161" i="58"/>
  <c r="AG161" i="58"/>
  <c r="AH161" i="58"/>
  <c r="AI161" i="58"/>
  <c r="AJ161" i="58"/>
  <c r="AK161" i="58"/>
  <c r="AL161" i="58"/>
  <c r="AM161" i="58"/>
  <c r="AN161" i="58"/>
  <c r="AO161" i="58"/>
  <c r="P160" i="58"/>
  <c r="Q160" i="58"/>
  <c r="R160" i="58"/>
  <c r="S160" i="58"/>
  <c r="T160" i="58"/>
  <c r="U160" i="58"/>
  <c r="V160" i="58"/>
  <c r="W160" i="58"/>
  <c r="X160" i="58"/>
  <c r="Y160" i="58"/>
  <c r="Z160" i="58"/>
  <c r="AA160" i="58"/>
  <c r="AB160" i="58"/>
  <c r="AC160" i="58"/>
  <c r="AD160" i="58"/>
  <c r="AE160" i="58"/>
  <c r="AF160" i="58"/>
  <c r="AG160" i="58"/>
  <c r="AH160" i="58"/>
  <c r="AI160" i="58"/>
  <c r="AJ160" i="58"/>
  <c r="AK160" i="58"/>
  <c r="AL160" i="58"/>
  <c r="AM160" i="58"/>
  <c r="AN160" i="58"/>
  <c r="AO160" i="58"/>
  <c r="O159" i="58"/>
  <c r="P159" i="58"/>
  <c r="Q159" i="58"/>
  <c r="R159" i="58"/>
  <c r="S159" i="58"/>
  <c r="T159" i="58"/>
  <c r="U159" i="58"/>
  <c r="V159" i="58"/>
  <c r="W159" i="58"/>
  <c r="X159" i="58"/>
  <c r="Y159" i="58"/>
  <c r="Z159" i="58"/>
  <c r="AA159" i="58"/>
  <c r="AB159" i="58"/>
  <c r="AC159" i="58"/>
  <c r="AD159" i="58"/>
  <c r="AE159" i="58"/>
  <c r="AF159" i="58"/>
  <c r="AG159" i="58"/>
  <c r="AH159" i="58"/>
  <c r="AI159" i="58"/>
  <c r="AJ159" i="58"/>
  <c r="AK159" i="58"/>
  <c r="AL159" i="58"/>
  <c r="AM159" i="58"/>
  <c r="AN159" i="58"/>
  <c r="AO159" i="58"/>
  <c r="N158" i="58"/>
  <c r="O158" i="58"/>
  <c r="P158" i="58"/>
  <c r="Q158" i="58"/>
  <c r="R158" i="58"/>
  <c r="S158" i="58"/>
  <c r="T158" i="58"/>
  <c r="U158" i="58"/>
  <c r="V158" i="58"/>
  <c r="W158" i="58"/>
  <c r="X158" i="58"/>
  <c r="Y158" i="58"/>
  <c r="Z158" i="58"/>
  <c r="AA158" i="58"/>
  <c r="AB158" i="58"/>
  <c r="AC158" i="58"/>
  <c r="AD158" i="58"/>
  <c r="AE158" i="58"/>
  <c r="AF158" i="58"/>
  <c r="AG158" i="58"/>
  <c r="AH158" i="58"/>
  <c r="AI158" i="58"/>
  <c r="AJ158" i="58"/>
  <c r="AK158" i="58"/>
  <c r="AL158" i="58"/>
  <c r="AM158" i="58"/>
  <c r="AN158" i="58"/>
  <c r="AO158" i="58"/>
  <c r="M157" i="58"/>
  <c r="N157" i="58"/>
  <c r="O157" i="58"/>
  <c r="P157" i="58"/>
  <c r="Q157" i="58"/>
  <c r="R157" i="58"/>
  <c r="S157" i="58"/>
  <c r="T157" i="58"/>
  <c r="U157" i="58"/>
  <c r="V157" i="58"/>
  <c r="W157" i="58"/>
  <c r="X157" i="58"/>
  <c r="Y157" i="58"/>
  <c r="Z157" i="58"/>
  <c r="AA157" i="58"/>
  <c r="AB157" i="58"/>
  <c r="AC157" i="58"/>
  <c r="AD157" i="58"/>
  <c r="AE157" i="58"/>
  <c r="AF157" i="58"/>
  <c r="AG157" i="58"/>
  <c r="AH157" i="58"/>
  <c r="AI157" i="58"/>
  <c r="AJ157" i="58"/>
  <c r="AK157" i="58"/>
  <c r="AL157" i="58"/>
  <c r="AM157" i="58"/>
  <c r="AN157" i="58"/>
  <c r="AO157" i="58"/>
  <c r="L156" i="58"/>
  <c r="M156" i="58"/>
  <c r="N156" i="58"/>
  <c r="O156" i="58"/>
  <c r="P156" i="58"/>
  <c r="Q156" i="58"/>
  <c r="R156" i="58"/>
  <c r="S156" i="58"/>
  <c r="T156" i="58"/>
  <c r="U156" i="58"/>
  <c r="V156" i="58"/>
  <c r="W156" i="58"/>
  <c r="X156" i="58"/>
  <c r="Y156" i="58"/>
  <c r="Z156" i="58"/>
  <c r="AA156" i="58"/>
  <c r="AB156" i="58"/>
  <c r="AC156" i="58"/>
  <c r="AD156" i="58"/>
  <c r="AE156" i="58"/>
  <c r="AF156" i="58"/>
  <c r="AG156" i="58"/>
  <c r="AH156" i="58"/>
  <c r="AI156" i="58"/>
  <c r="AJ156" i="58"/>
  <c r="AK156" i="58"/>
  <c r="AL156" i="58"/>
  <c r="AM156" i="58"/>
  <c r="AN156" i="58"/>
  <c r="AO156" i="58"/>
  <c r="K155" i="58"/>
  <c r="L155" i="58"/>
  <c r="M155" i="58"/>
  <c r="N155" i="58"/>
  <c r="O155" i="58"/>
  <c r="P155" i="58"/>
  <c r="Q155" i="58"/>
  <c r="R155" i="58"/>
  <c r="S155" i="58"/>
  <c r="T155" i="58"/>
  <c r="U155" i="58"/>
  <c r="V155" i="58"/>
  <c r="W155" i="58"/>
  <c r="X155" i="58"/>
  <c r="Y155" i="58"/>
  <c r="Z155" i="58"/>
  <c r="AA155" i="58"/>
  <c r="AB155" i="58"/>
  <c r="AC155" i="58"/>
  <c r="AD155" i="58"/>
  <c r="AE155" i="58"/>
  <c r="AF155" i="58"/>
  <c r="AG155" i="58"/>
  <c r="AH155" i="58"/>
  <c r="AI155" i="58"/>
  <c r="AJ155" i="58"/>
  <c r="AK155" i="58"/>
  <c r="AL155" i="58"/>
  <c r="AM155" i="58"/>
  <c r="AN155" i="58"/>
  <c r="AO155" i="58"/>
  <c r="J154" i="58"/>
  <c r="K154" i="58"/>
  <c r="L154" i="58"/>
  <c r="M154" i="58"/>
  <c r="N154" i="58"/>
  <c r="O154" i="58"/>
  <c r="P154" i="58"/>
  <c r="Q154" i="58"/>
  <c r="R154" i="58"/>
  <c r="S154" i="58"/>
  <c r="T154" i="58"/>
  <c r="U154" i="58"/>
  <c r="V154" i="58"/>
  <c r="W154" i="58"/>
  <c r="X154" i="58"/>
  <c r="Y154" i="58"/>
  <c r="Z154" i="58"/>
  <c r="AA154" i="58"/>
  <c r="AB154" i="58"/>
  <c r="AC154" i="58"/>
  <c r="AD154" i="58"/>
  <c r="AE154" i="58"/>
  <c r="AF154" i="58"/>
  <c r="AG154" i="58"/>
  <c r="AH154" i="58"/>
  <c r="AI154" i="58"/>
  <c r="AJ154" i="58"/>
  <c r="AK154" i="58"/>
  <c r="AL154" i="58"/>
  <c r="AM154" i="58"/>
  <c r="AN154" i="58"/>
  <c r="AO154" i="58"/>
  <c r="I153" i="58"/>
  <c r="J153" i="58"/>
  <c r="K153" i="58"/>
  <c r="L153" i="58"/>
  <c r="M153" i="58"/>
  <c r="N153" i="58"/>
  <c r="O153" i="58"/>
  <c r="P153" i="58"/>
  <c r="Q153" i="58"/>
  <c r="R153" i="58"/>
  <c r="S153" i="58"/>
  <c r="T153" i="58"/>
  <c r="U153" i="58"/>
  <c r="V153" i="58"/>
  <c r="W153" i="58"/>
  <c r="X153" i="58"/>
  <c r="Y153" i="58"/>
  <c r="Z153" i="58"/>
  <c r="AA153" i="58"/>
  <c r="AB153" i="58"/>
  <c r="AC153" i="58"/>
  <c r="AD153" i="58"/>
  <c r="AE153" i="58"/>
  <c r="AF153" i="58"/>
  <c r="AG153" i="58"/>
  <c r="AH153" i="58"/>
  <c r="AI153" i="58"/>
  <c r="AJ153" i="58"/>
  <c r="AK153" i="58"/>
  <c r="AL153" i="58"/>
  <c r="AM153" i="58"/>
  <c r="AN153" i="58"/>
  <c r="AO153" i="58"/>
  <c r="H152" i="58"/>
  <c r="I152" i="58"/>
  <c r="J152" i="58"/>
  <c r="K152" i="58"/>
  <c r="L152" i="58"/>
  <c r="M152" i="58"/>
  <c r="N152" i="58"/>
  <c r="O152" i="58"/>
  <c r="P152" i="58"/>
  <c r="Q152" i="58"/>
  <c r="R152" i="58"/>
  <c r="S152" i="58"/>
  <c r="T152" i="58"/>
  <c r="U152" i="58"/>
  <c r="V152" i="58"/>
  <c r="W152" i="58"/>
  <c r="X152" i="58"/>
  <c r="Y152" i="58"/>
  <c r="Z152" i="58"/>
  <c r="AA152" i="58"/>
  <c r="AB152" i="58"/>
  <c r="AC152" i="58"/>
  <c r="AD152" i="58"/>
  <c r="AE152" i="58"/>
  <c r="AF152" i="58"/>
  <c r="AG152" i="58"/>
  <c r="AH152" i="58"/>
  <c r="AI152" i="58"/>
  <c r="AJ152" i="58"/>
  <c r="AK152" i="58"/>
  <c r="AL152" i="58"/>
  <c r="AM152" i="58"/>
  <c r="AN152" i="58"/>
  <c r="AO152" i="58"/>
  <c r="G151" i="58"/>
  <c r="H151" i="58"/>
  <c r="I151" i="58"/>
  <c r="J151" i="58"/>
  <c r="K151" i="58"/>
  <c r="L151" i="58"/>
  <c r="M151" i="58"/>
  <c r="N151" i="58"/>
  <c r="O151" i="58"/>
  <c r="P151" i="58"/>
  <c r="Q151" i="58"/>
  <c r="R151" i="58"/>
  <c r="S151" i="58"/>
  <c r="T151" i="58"/>
  <c r="U151" i="58"/>
  <c r="V151" i="58"/>
  <c r="W151" i="58"/>
  <c r="X151" i="58"/>
  <c r="Y151" i="58"/>
  <c r="Z151" i="58"/>
  <c r="AA151" i="58"/>
  <c r="AB151" i="58"/>
  <c r="AC151" i="58"/>
  <c r="AD151" i="58"/>
  <c r="AE151" i="58"/>
  <c r="AF151" i="58"/>
  <c r="AG151" i="58"/>
  <c r="AH151" i="58"/>
  <c r="AI151" i="58"/>
  <c r="AJ151" i="58"/>
  <c r="AK151" i="58"/>
  <c r="AL151" i="58"/>
  <c r="AM151" i="58"/>
  <c r="AN151" i="58"/>
  <c r="AO151" i="58"/>
  <c r="F150" i="58"/>
  <c r="G150" i="58"/>
  <c r="H150" i="58"/>
  <c r="I150" i="58"/>
  <c r="J150" i="58"/>
  <c r="K150" i="58"/>
  <c r="L150" i="58"/>
  <c r="M150" i="58"/>
  <c r="N150" i="58"/>
  <c r="O150" i="58"/>
  <c r="P150" i="58"/>
  <c r="Q150" i="58"/>
  <c r="R150" i="58"/>
  <c r="S150" i="58"/>
  <c r="T150" i="58"/>
  <c r="U150" i="58"/>
  <c r="V150" i="58"/>
  <c r="W150" i="58"/>
  <c r="X150" i="58"/>
  <c r="Y150" i="58"/>
  <c r="Z150" i="58"/>
  <c r="AA150" i="58"/>
  <c r="AB150" i="58"/>
  <c r="AC150" i="58"/>
  <c r="AD150" i="58"/>
  <c r="AE150" i="58"/>
  <c r="AF150" i="58"/>
  <c r="AG150" i="58"/>
  <c r="AH150" i="58"/>
  <c r="AI150" i="58"/>
  <c r="AJ150" i="58"/>
  <c r="AK150" i="58"/>
  <c r="AL150" i="58"/>
  <c r="AM150" i="58"/>
  <c r="AN150" i="58"/>
  <c r="AO150" i="58"/>
  <c r="E149" i="58"/>
  <c r="F149" i="58"/>
  <c r="G149" i="58"/>
  <c r="H149" i="58"/>
  <c r="I149" i="58"/>
  <c r="J149" i="58"/>
  <c r="K149" i="58"/>
  <c r="L149" i="58"/>
  <c r="M149" i="58"/>
  <c r="N149" i="58"/>
  <c r="O149" i="58"/>
  <c r="P149" i="58"/>
  <c r="Q149" i="58"/>
  <c r="R149" i="58"/>
  <c r="S149" i="58"/>
  <c r="T149" i="58"/>
  <c r="U149" i="58"/>
  <c r="V149" i="58"/>
  <c r="W149" i="58"/>
  <c r="X149" i="58"/>
  <c r="Y149" i="58"/>
  <c r="Z149" i="58"/>
  <c r="AA149" i="58"/>
  <c r="AB149" i="58"/>
  <c r="AC149" i="58"/>
  <c r="AD149" i="58"/>
  <c r="AE149" i="58"/>
  <c r="AF149" i="58"/>
  <c r="AG149" i="58"/>
  <c r="AH149" i="58"/>
  <c r="AI149" i="58"/>
  <c r="AJ149" i="58"/>
  <c r="AK149" i="58"/>
  <c r="AL149" i="58"/>
  <c r="AM149" i="58"/>
  <c r="AN149" i="58"/>
  <c r="AO149" i="58"/>
  <c r="D148" i="58"/>
  <c r="E148" i="58"/>
  <c r="F148" i="58"/>
  <c r="G148" i="58"/>
  <c r="H148" i="58"/>
  <c r="I148" i="58"/>
  <c r="J148" i="58"/>
  <c r="K148" i="58"/>
  <c r="L148" i="58"/>
  <c r="M148" i="58"/>
  <c r="N148" i="58"/>
  <c r="O148" i="58"/>
  <c r="P148" i="58"/>
  <c r="Q148" i="58"/>
  <c r="R148" i="58"/>
  <c r="S148" i="58"/>
  <c r="T148" i="58"/>
  <c r="U148" i="58"/>
  <c r="V148" i="58"/>
  <c r="W148" i="58"/>
  <c r="X148" i="58"/>
  <c r="Y148" i="58"/>
  <c r="Z148" i="58"/>
  <c r="AA148" i="58"/>
  <c r="AB148" i="58"/>
  <c r="AC148" i="58"/>
  <c r="AD148" i="58"/>
  <c r="AE148" i="58"/>
  <c r="AF148" i="58"/>
  <c r="AG148" i="58"/>
  <c r="AH148" i="58"/>
  <c r="AI148" i="58"/>
  <c r="AJ148" i="58"/>
  <c r="AK148" i="58"/>
  <c r="AL148" i="58"/>
  <c r="AM148" i="58"/>
  <c r="AN148" i="58"/>
  <c r="AO148" i="58"/>
  <c r="C147" i="58"/>
  <c r="D147" i="58"/>
  <c r="E147" i="58"/>
  <c r="F147" i="58"/>
  <c r="G147" i="58"/>
  <c r="H147" i="58"/>
  <c r="I147" i="58"/>
  <c r="J147" i="58"/>
  <c r="K147" i="58"/>
  <c r="L147" i="58"/>
  <c r="M147" i="58"/>
  <c r="N147" i="58"/>
  <c r="O147" i="58"/>
  <c r="P147" i="58"/>
  <c r="Q147" i="58"/>
  <c r="R147" i="58"/>
  <c r="S147" i="58"/>
  <c r="T147" i="58"/>
  <c r="U147" i="58"/>
  <c r="V147" i="58"/>
  <c r="W147" i="58"/>
  <c r="X147" i="58"/>
  <c r="Y147" i="58"/>
  <c r="Z147" i="58"/>
  <c r="AA147" i="58"/>
  <c r="AB147" i="58"/>
  <c r="AC147" i="58"/>
  <c r="AD147" i="58"/>
  <c r="AE147" i="58"/>
  <c r="AF147" i="58"/>
  <c r="AG147" i="58"/>
  <c r="AH147" i="58"/>
  <c r="AI147" i="58"/>
  <c r="AJ147" i="58"/>
  <c r="AK147" i="58"/>
  <c r="AL147" i="58"/>
  <c r="AM147" i="58"/>
  <c r="AN147" i="58"/>
  <c r="AO147" i="58"/>
  <c r="B146" i="58"/>
  <c r="C146" i="58"/>
  <c r="D146" i="58"/>
  <c r="E146" i="58"/>
  <c r="F146" i="58"/>
  <c r="G146" i="58"/>
  <c r="H146" i="58"/>
  <c r="I146" i="58"/>
  <c r="J146" i="58"/>
  <c r="K146" i="58"/>
  <c r="L146" i="58"/>
  <c r="M146" i="58"/>
  <c r="N146" i="58"/>
  <c r="O146" i="58"/>
  <c r="P146" i="58"/>
  <c r="Q146" i="58"/>
  <c r="R146" i="58"/>
  <c r="S146" i="58"/>
  <c r="T146" i="58"/>
  <c r="U146" i="58"/>
  <c r="V146" i="58"/>
  <c r="W146" i="58"/>
  <c r="X146" i="58"/>
  <c r="Y146" i="58"/>
  <c r="Z146" i="58"/>
  <c r="AA146" i="58"/>
  <c r="AB146" i="58"/>
  <c r="AC146" i="58"/>
  <c r="AD146" i="58"/>
  <c r="AE146" i="58"/>
  <c r="AF146" i="58"/>
  <c r="AG146" i="58"/>
  <c r="AH146" i="58"/>
  <c r="AI146" i="58"/>
  <c r="AJ146" i="58"/>
  <c r="AK146" i="58"/>
  <c r="AL146" i="58"/>
  <c r="AM146" i="58"/>
  <c r="AN146" i="58"/>
  <c r="AO146" i="58"/>
  <c r="B36" i="58"/>
  <c r="B39" i="58"/>
  <c r="B38" i="58"/>
  <c r="B40" i="58"/>
  <c r="B41" i="58"/>
  <c r="B42" i="58"/>
  <c r="C36" i="58"/>
  <c r="C39" i="58"/>
  <c r="C37" i="58"/>
  <c r="C38" i="58"/>
  <c r="C40" i="58"/>
  <c r="C41" i="58"/>
  <c r="C42" i="58"/>
  <c r="D36" i="58"/>
  <c r="D39" i="58"/>
  <c r="D37" i="58"/>
  <c r="D38" i="58"/>
  <c r="D40" i="58"/>
  <c r="D41" i="58"/>
  <c r="D42" i="58"/>
  <c r="E36" i="58"/>
  <c r="E39" i="58"/>
  <c r="E37" i="58"/>
  <c r="E38" i="58"/>
  <c r="E40" i="58"/>
  <c r="E41" i="58"/>
  <c r="E42" i="58"/>
  <c r="F36" i="58"/>
  <c r="F39" i="58"/>
  <c r="F37" i="58"/>
  <c r="F38" i="58"/>
  <c r="F40" i="58"/>
  <c r="F41" i="58"/>
  <c r="F42" i="58"/>
  <c r="G36" i="58"/>
  <c r="G39" i="58"/>
  <c r="G37" i="58"/>
  <c r="G38" i="58"/>
  <c r="G40" i="58"/>
  <c r="G41" i="58"/>
  <c r="G42" i="58"/>
  <c r="H36" i="58"/>
  <c r="H39" i="58"/>
  <c r="H37" i="58"/>
  <c r="H38" i="58"/>
  <c r="H40" i="58"/>
  <c r="H41" i="58"/>
  <c r="H42" i="58"/>
  <c r="I36" i="58"/>
  <c r="I39" i="58"/>
  <c r="I37" i="58"/>
  <c r="I38" i="58"/>
  <c r="I40" i="58"/>
  <c r="I41" i="58"/>
  <c r="I42" i="58"/>
  <c r="J36" i="58"/>
  <c r="J39" i="58"/>
  <c r="J37" i="58"/>
  <c r="J38" i="58"/>
  <c r="J40" i="58"/>
  <c r="J41" i="58"/>
  <c r="J42" i="58"/>
  <c r="K36" i="58"/>
  <c r="K39" i="58"/>
  <c r="K37" i="58"/>
  <c r="K38" i="58"/>
  <c r="K40" i="58"/>
  <c r="K41" i="58"/>
  <c r="K42" i="58"/>
  <c r="L36" i="58"/>
  <c r="L39" i="58"/>
  <c r="L37" i="58"/>
  <c r="L38" i="58"/>
  <c r="L40" i="58"/>
  <c r="L41" i="58"/>
  <c r="L42" i="58"/>
  <c r="M36" i="58"/>
  <c r="M39" i="58"/>
  <c r="M37" i="58"/>
  <c r="M38" i="58"/>
  <c r="M40" i="58"/>
  <c r="M41" i="58"/>
  <c r="M42" i="58"/>
  <c r="N36" i="58"/>
  <c r="N39" i="58"/>
  <c r="N37" i="58"/>
  <c r="N38" i="58"/>
  <c r="N40" i="58"/>
  <c r="N41" i="58"/>
  <c r="N42" i="58"/>
  <c r="O36" i="58"/>
  <c r="O39" i="58"/>
  <c r="O37" i="58"/>
  <c r="O38" i="58"/>
  <c r="O40" i="58"/>
  <c r="O41" i="58"/>
  <c r="O42" i="58"/>
  <c r="P36" i="58"/>
  <c r="P39" i="58"/>
  <c r="P37" i="58"/>
  <c r="P38" i="58"/>
  <c r="P40" i="58"/>
  <c r="P41" i="58"/>
  <c r="P42" i="58"/>
  <c r="Q36" i="58"/>
  <c r="Q39" i="58"/>
  <c r="Q37" i="58"/>
  <c r="Q38" i="58"/>
  <c r="Q40" i="58"/>
  <c r="Q41" i="58"/>
  <c r="Q42" i="58"/>
  <c r="R36" i="58"/>
  <c r="R39" i="58"/>
  <c r="R37" i="58"/>
  <c r="R38" i="58"/>
  <c r="R40" i="58"/>
  <c r="R41" i="58"/>
  <c r="R42" i="58"/>
  <c r="S36" i="58"/>
  <c r="S39" i="58"/>
  <c r="S37" i="58"/>
  <c r="S38" i="58"/>
  <c r="S40" i="58"/>
  <c r="S41" i="58"/>
  <c r="S42" i="58"/>
  <c r="T36" i="58"/>
  <c r="T39" i="58"/>
  <c r="T37" i="58"/>
  <c r="T38" i="58"/>
  <c r="T40" i="58"/>
  <c r="T41" i="58"/>
  <c r="T42" i="58"/>
  <c r="U36" i="58"/>
  <c r="U39" i="58"/>
  <c r="U37" i="58"/>
  <c r="U38" i="58"/>
  <c r="U40" i="58"/>
  <c r="U41" i="58"/>
  <c r="U42" i="58"/>
  <c r="V36" i="58"/>
  <c r="V39" i="58"/>
  <c r="V37" i="58"/>
  <c r="V38" i="58"/>
  <c r="V40" i="58"/>
  <c r="V41" i="58"/>
  <c r="V42" i="58"/>
  <c r="W36" i="58"/>
  <c r="W39" i="58"/>
  <c r="W37" i="58"/>
  <c r="W38" i="58"/>
  <c r="W40" i="58"/>
  <c r="W41" i="58"/>
  <c r="W42" i="58"/>
  <c r="X36" i="58"/>
  <c r="X39" i="58"/>
  <c r="X37" i="58"/>
  <c r="X38" i="58"/>
  <c r="X40" i="58"/>
  <c r="X41" i="58"/>
  <c r="X42" i="58"/>
  <c r="Y36" i="58"/>
  <c r="Y39" i="58"/>
  <c r="Y37" i="58"/>
  <c r="Y38" i="58"/>
  <c r="Y40" i="58"/>
  <c r="Y41" i="58"/>
  <c r="Y42" i="58"/>
  <c r="Z36" i="58"/>
  <c r="Z39" i="58"/>
  <c r="Z37" i="58"/>
  <c r="Z38" i="58"/>
  <c r="Z40" i="58"/>
  <c r="Z41" i="58"/>
  <c r="Z42" i="58"/>
  <c r="AA36" i="58"/>
  <c r="AA39" i="58"/>
  <c r="AA37" i="58"/>
  <c r="AA38" i="58"/>
  <c r="AA40" i="58"/>
  <c r="AA41" i="58"/>
  <c r="AA42" i="58"/>
  <c r="AB36" i="58"/>
  <c r="AB39" i="58"/>
  <c r="AB37" i="58"/>
  <c r="AB38" i="58"/>
  <c r="AB40" i="58"/>
  <c r="AB41" i="58"/>
  <c r="AB42" i="58"/>
  <c r="AC36" i="58"/>
  <c r="AC39" i="58"/>
  <c r="AC37" i="58"/>
  <c r="AC38" i="58"/>
  <c r="AC40" i="58"/>
  <c r="AC41" i="58"/>
  <c r="AC42" i="58"/>
  <c r="AD36" i="58"/>
  <c r="AD39" i="58"/>
  <c r="AD37" i="58"/>
  <c r="AD38" i="58"/>
  <c r="AD40" i="58"/>
  <c r="AD41" i="58"/>
  <c r="AD42" i="58"/>
  <c r="AE36" i="58"/>
  <c r="AE39" i="58"/>
  <c r="AE37" i="58"/>
  <c r="AE38" i="58"/>
  <c r="AE40" i="58"/>
  <c r="AE41" i="58"/>
  <c r="AE42" i="58"/>
  <c r="AF36" i="58"/>
  <c r="AF39" i="58"/>
  <c r="AF37" i="58"/>
  <c r="AF38" i="58"/>
  <c r="AF40" i="58"/>
  <c r="AF41" i="58"/>
  <c r="AF42" i="58"/>
  <c r="AG36" i="58"/>
  <c r="AG39" i="58"/>
  <c r="AG37" i="58"/>
  <c r="AG38" i="58"/>
  <c r="AG40" i="58"/>
  <c r="AG41" i="58"/>
  <c r="AG42" i="58"/>
  <c r="AH36" i="58"/>
  <c r="AH39" i="58"/>
  <c r="AH37" i="58"/>
  <c r="AH38" i="58"/>
  <c r="AH40" i="58"/>
  <c r="AH41" i="58"/>
  <c r="AH42" i="58"/>
  <c r="AI36" i="58"/>
  <c r="AI39" i="58"/>
  <c r="AI37" i="58"/>
  <c r="AI38" i="58"/>
  <c r="AI40" i="58"/>
  <c r="AI41" i="58"/>
  <c r="AI42" i="58"/>
  <c r="AJ36" i="58"/>
  <c r="AJ39" i="58"/>
  <c r="AJ37" i="58"/>
  <c r="AJ38" i="58"/>
  <c r="AJ40" i="58"/>
  <c r="AJ41" i="58"/>
  <c r="AJ42" i="58"/>
  <c r="AK36" i="58"/>
  <c r="AK39" i="58"/>
  <c r="AK37" i="58"/>
  <c r="AK38" i="58"/>
  <c r="AK40" i="58"/>
  <c r="AK41" i="58"/>
  <c r="AK42" i="58"/>
  <c r="AL36" i="58"/>
  <c r="AL39" i="58"/>
  <c r="AL37" i="58"/>
  <c r="AL38" i="58"/>
  <c r="AL40" i="58"/>
  <c r="AL41" i="58"/>
  <c r="AL42" i="58"/>
  <c r="AM36" i="58"/>
  <c r="AM39" i="58"/>
  <c r="AM37" i="58"/>
  <c r="AM38" i="58"/>
  <c r="AM40" i="58"/>
  <c r="AM41" i="58"/>
  <c r="AM42" i="58"/>
  <c r="AN36" i="58"/>
  <c r="AN39" i="58"/>
  <c r="AN37" i="58"/>
  <c r="AN38" i="58"/>
  <c r="AN40" i="58"/>
  <c r="AN41" i="58"/>
  <c r="AN42" i="58"/>
  <c r="AO36" i="58"/>
  <c r="AO39" i="58"/>
  <c r="AO37" i="58"/>
  <c r="AO38" i="58"/>
  <c r="AO40" i="58"/>
  <c r="AO41" i="58"/>
  <c r="AO42" i="58"/>
  <c r="AP36" i="58"/>
  <c r="AP39" i="58"/>
  <c r="AP37" i="58"/>
  <c r="AP38" i="58"/>
  <c r="AP40" i="58"/>
  <c r="AP41" i="58"/>
  <c r="AP42" i="58"/>
  <c r="AQ36" i="58"/>
  <c r="AQ39" i="58"/>
  <c r="AQ37" i="58"/>
  <c r="AQ38" i="58"/>
  <c r="AQ40" i="58"/>
  <c r="AQ41" i="58"/>
  <c r="AQ42" i="58"/>
  <c r="AR36" i="58"/>
  <c r="AR39" i="58"/>
  <c r="AR37" i="58"/>
  <c r="AR38" i="58"/>
  <c r="AR40" i="58"/>
  <c r="AR41" i="58"/>
  <c r="AR42" i="58"/>
  <c r="AS36" i="58"/>
  <c r="AS39" i="58"/>
  <c r="AS37" i="58"/>
  <c r="AS38" i="58"/>
  <c r="AS40" i="58"/>
  <c r="AS41" i="58"/>
  <c r="AS42" i="58"/>
  <c r="AT36" i="58"/>
  <c r="AT39" i="58"/>
  <c r="AT37" i="58"/>
  <c r="AT38" i="58"/>
  <c r="AT40" i="58"/>
  <c r="AT41" i="58"/>
  <c r="AT42" i="58"/>
  <c r="AU36" i="58"/>
  <c r="AU39" i="58"/>
  <c r="AU37" i="58"/>
  <c r="AU38" i="58"/>
  <c r="AU40" i="58"/>
  <c r="AU41" i="58"/>
  <c r="AU42" i="58"/>
  <c r="AV36" i="58"/>
  <c r="AV39" i="58"/>
  <c r="AV37" i="58"/>
  <c r="AV38" i="58"/>
  <c r="AV40" i="58"/>
  <c r="AV41" i="58"/>
  <c r="AV42" i="58"/>
  <c r="AW36" i="58"/>
  <c r="AW39" i="58"/>
  <c r="AW37" i="58"/>
  <c r="AW38" i="58"/>
  <c r="AW40" i="58"/>
  <c r="AW41" i="58"/>
  <c r="AW42" i="58"/>
  <c r="AX36" i="58"/>
  <c r="AX39" i="58"/>
  <c r="AX37" i="58"/>
  <c r="AX38" i="58"/>
  <c r="AX40" i="58"/>
  <c r="AX41" i="58"/>
  <c r="AX42" i="58"/>
  <c r="AY36" i="58"/>
  <c r="AY39" i="58"/>
  <c r="AY37" i="58"/>
  <c r="AY38" i="58"/>
  <c r="AY40" i="58"/>
  <c r="AY41" i="58"/>
  <c r="AY42" i="58"/>
  <c r="AZ36" i="58"/>
  <c r="AZ39" i="58"/>
  <c r="AZ37" i="58"/>
  <c r="AZ38" i="58"/>
  <c r="AZ40" i="58"/>
  <c r="AZ41" i="58"/>
  <c r="AZ42" i="58"/>
  <c r="BA36" i="58"/>
  <c r="BA39" i="58"/>
  <c r="BA37" i="58"/>
  <c r="BA38" i="58"/>
  <c r="BA40" i="58"/>
  <c r="BA41" i="58"/>
  <c r="BA42" i="58"/>
  <c r="BB36" i="58"/>
  <c r="BB39" i="58"/>
  <c r="BB37" i="58"/>
  <c r="BB38" i="58"/>
  <c r="BB40" i="58"/>
  <c r="BB41" i="58"/>
  <c r="BB42" i="58"/>
  <c r="BC36" i="58"/>
  <c r="BC39" i="58"/>
  <c r="BC37" i="58"/>
  <c r="BC38" i="58"/>
  <c r="BC40" i="58"/>
  <c r="BC41" i="58"/>
  <c r="BC42" i="58"/>
  <c r="BD36" i="58"/>
  <c r="BD39" i="58"/>
  <c r="BD37" i="58"/>
  <c r="BD38" i="58"/>
  <c r="BD40" i="58"/>
  <c r="BD41" i="58"/>
  <c r="BD42" i="58"/>
  <c r="BE36" i="58"/>
  <c r="BE39" i="58"/>
  <c r="BE37" i="58"/>
  <c r="BE38" i="58"/>
  <c r="BE40" i="58"/>
  <c r="BE41" i="58"/>
  <c r="BE42" i="58"/>
  <c r="BF36" i="58"/>
  <c r="BF39" i="58"/>
  <c r="BF37" i="58"/>
  <c r="BF38" i="58"/>
  <c r="BF40" i="58"/>
  <c r="BF41" i="58"/>
  <c r="BF42" i="58"/>
  <c r="BG36" i="58"/>
  <c r="BG39" i="58"/>
  <c r="BG37" i="58"/>
  <c r="BG38" i="58"/>
  <c r="BG40" i="58"/>
  <c r="BG41" i="58"/>
  <c r="BG42" i="58"/>
  <c r="BH36" i="58"/>
  <c r="BH39" i="58"/>
  <c r="BH37" i="58"/>
  <c r="BH38" i="58"/>
  <c r="BH40" i="58"/>
  <c r="BH41" i="58"/>
  <c r="BH42" i="58"/>
  <c r="BI36" i="58"/>
  <c r="BI39" i="58"/>
  <c r="BI37" i="58"/>
  <c r="BI38" i="58"/>
  <c r="BI40" i="58"/>
  <c r="BI41" i="58"/>
  <c r="BI42" i="58"/>
  <c r="B26" i="58"/>
  <c r="B29" i="58"/>
  <c r="C27" i="58"/>
  <c r="C29" i="58"/>
  <c r="D27" i="58"/>
  <c r="D29" i="58"/>
  <c r="E27" i="58"/>
  <c r="E29" i="58"/>
  <c r="F27" i="58"/>
  <c r="F29" i="58"/>
  <c r="G27" i="58"/>
  <c r="G29" i="58"/>
  <c r="H27" i="58"/>
  <c r="H29" i="58"/>
  <c r="I27" i="58"/>
  <c r="I29" i="58"/>
  <c r="J27" i="58"/>
  <c r="J29" i="58"/>
  <c r="K27" i="58"/>
  <c r="K29" i="58"/>
  <c r="L27" i="58"/>
  <c r="L29" i="58"/>
  <c r="M27" i="58"/>
  <c r="M29" i="58"/>
  <c r="N27" i="58"/>
  <c r="N29" i="58"/>
  <c r="O27" i="58"/>
  <c r="O29" i="58"/>
  <c r="P27" i="58"/>
  <c r="P29" i="58"/>
  <c r="Q27" i="58"/>
  <c r="Q29" i="58"/>
  <c r="R27" i="58"/>
  <c r="R29" i="58"/>
  <c r="S27" i="58"/>
  <c r="S29" i="58"/>
  <c r="T27" i="58"/>
  <c r="T29" i="58"/>
  <c r="U27" i="58"/>
  <c r="U29" i="58"/>
  <c r="V27" i="58"/>
  <c r="V29" i="58"/>
  <c r="W27" i="58"/>
  <c r="W29" i="58"/>
  <c r="X27" i="58"/>
  <c r="X29" i="58"/>
  <c r="Y27" i="58"/>
  <c r="Y29" i="58"/>
  <c r="Z27" i="58"/>
  <c r="Z29" i="58"/>
  <c r="AA27" i="58"/>
  <c r="AA29" i="58"/>
  <c r="AB27" i="58"/>
  <c r="AB29" i="58"/>
  <c r="AC27" i="58"/>
  <c r="AC29" i="58"/>
  <c r="AD27" i="58"/>
  <c r="AD29" i="58"/>
  <c r="AE27" i="58"/>
  <c r="AE29" i="58"/>
  <c r="AF27" i="58"/>
  <c r="AF29" i="58"/>
  <c r="AG27" i="58"/>
  <c r="AG29" i="58"/>
  <c r="AH27" i="58"/>
  <c r="AH29" i="58"/>
  <c r="AI27" i="58"/>
  <c r="AI29" i="58"/>
  <c r="AJ27" i="58"/>
  <c r="AJ29" i="58"/>
  <c r="AK27" i="58"/>
  <c r="AK29" i="58"/>
  <c r="AL27" i="58"/>
  <c r="AL29" i="58"/>
  <c r="AM27" i="58"/>
  <c r="AM29" i="58"/>
  <c r="AN27" i="58"/>
  <c r="AN29" i="58"/>
  <c r="AO27" i="58"/>
  <c r="AO29" i="58"/>
  <c r="AP27" i="58"/>
  <c r="AP29" i="58"/>
  <c r="AQ27" i="58"/>
  <c r="AQ29" i="58"/>
  <c r="AR27" i="58"/>
  <c r="AR29" i="58"/>
  <c r="AS27" i="58"/>
  <c r="AS29" i="58"/>
  <c r="AT27" i="58"/>
  <c r="AT29" i="58"/>
  <c r="AU27" i="58"/>
  <c r="AU29" i="58"/>
  <c r="AV27" i="58"/>
  <c r="AV29" i="58"/>
  <c r="AW27" i="58"/>
  <c r="AW29" i="58"/>
  <c r="AX27" i="58"/>
  <c r="AX29" i="58"/>
  <c r="AY27" i="58"/>
  <c r="AY29" i="58"/>
  <c r="AZ27" i="58"/>
  <c r="AZ29" i="58"/>
  <c r="BA27" i="58"/>
  <c r="BA29" i="58"/>
  <c r="BB27" i="58"/>
  <c r="BB29" i="58"/>
  <c r="BC27" i="58"/>
  <c r="BC29" i="58"/>
  <c r="BD27" i="58"/>
  <c r="BD29" i="58"/>
  <c r="BE27" i="58"/>
  <c r="BE29" i="58"/>
  <c r="BF27" i="58"/>
  <c r="BF29" i="58"/>
  <c r="BG27" i="58"/>
  <c r="BG29" i="58"/>
  <c r="BH27" i="58"/>
  <c r="BH29" i="58"/>
  <c r="BI27" i="58"/>
  <c r="BI29" i="58"/>
  <c r="BI28" i="58"/>
  <c r="BH28" i="58"/>
  <c r="BG28" i="58"/>
  <c r="BF28" i="58"/>
  <c r="BE28" i="58"/>
  <c r="BD28" i="58"/>
  <c r="BC28" i="58"/>
  <c r="BB28" i="58"/>
  <c r="BA28" i="58"/>
  <c r="AZ28" i="58"/>
  <c r="AY28" i="58"/>
  <c r="AX28" i="58"/>
  <c r="AW28" i="58"/>
  <c r="AV28" i="58"/>
  <c r="AU28" i="58"/>
  <c r="AT28" i="58"/>
  <c r="AS28" i="58"/>
  <c r="AR28" i="58"/>
  <c r="AQ28" i="58"/>
  <c r="AP28" i="58"/>
  <c r="AO28" i="58"/>
  <c r="AN28" i="58"/>
  <c r="AM28" i="58"/>
  <c r="AL28" i="58"/>
  <c r="AK28" i="58"/>
  <c r="AJ28" i="58"/>
  <c r="AI28" i="58"/>
  <c r="AH28" i="58"/>
  <c r="AG28" i="58"/>
  <c r="AF28" i="58"/>
  <c r="AE28" i="58"/>
  <c r="AD28" i="58"/>
  <c r="AC28" i="58"/>
  <c r="AB28" i="58"/>
  <c r="AA28" i="58"/>
  <c r="Z28" i="58"/>
  <c r="Y28" i="58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D28" i="58"/>
  <c r="C28" i="58"/>
  <c r="B28" i="58"/>
  <c r="B21" i="58"/>
  <c r="B20" i="58"/>
  <c r="B18" i="58"/>
  <c r="B19" i="58"/>
  <c r="B17" i="58"/>
  <c r="H28" i="57"/>
  <c r="K24" i="57"/>
  <c r="M24" i="57"/>
  <c r="H24" i="57"/>
  <c r="K20" i="57"/>
  <c r="M20" i="57"/>
  <c r="H20" i="57"/>
  <c r="K16" i="57"/>
  <c r="M16" i="57"/>
  <c r="H16" i="57"/>
  <c r="K12" i="57"/>
  <c r="M12" i="57"/>
  <c r="H12" i="57"/>
  <c r="J28" i="56"/>
  <c r="L24" i="56"/>
  <c r="N24" i="56"/>
  <c r="Q24" i="56"/>
  <c r="J32" i="56"/>
  <c r="J24" i="56"/>
  <c r="L20" i="56"/>
  <c r="N20" i="56"/>
  <c r="Q20" i="56"/>
  <c r="J20" i="56"/>
  <c r="L16" i="56"/>
  <c r="N16" i="56"/>
  <c r="Q16" i="56"/>
  <c r="J16" i="56"/>
  <c r="L12" i="56"/>
  <c r="N12" i="56"/>
  <c r="Q12" i="56"/>
  <c r="J12" i="56"/>
  <c r="J28" i="55"/>
  <c r="N24" i="55"/>
  <c r="Q24" i="55"/>
  <c r="J32" i="55"/>
  <c r="L24" i="55"/>
  <c r="J24" i="55"/>
  <c r="N20" i="55"/>
  <c r="Q20" i="55"/>
  <c r="L20" i="55"/>
  <c r="J20" i="55"/>
  <c r="N16" i="55"/>
  <c r="Q16" i="55"/>
  <c r="L16" i="55"/>
  <c r="J16" i="55"/>
  <c r="N12" i="55"/>
  <c r="Q12" i="55"/>
  <c r="L12" i="55"/>
  <c r="J12" i="55"/>
  <c r="J28" i="54"/>
  <c r="N24" i="54"/>
  <c r="Q24" i="54"/>
  <c r="J32" i="54"/>
  <c r="L24" i="54"/>
  <c r="J24" i="54"/>
  <c r="N20" i="54"/>
  <c r="Q20" i="54"/>
  <c r="L20" i="54"/>
  <c r="J20" i="54"/>
  <c r="N16" i="54"/>
  <c r="Q16" i="54"/>
  <c r="L16" i="54"/>
  <c r="J16" i="54"/>
  <c r="N12" i="54"/>
  <c r="Q12" i="54"/>
  <c r="L12" i="54"/>
  <c r="J12" i="54"/>
  <c r="J28" i="53"/>
  <c r="L24" i="53"/>
  <c r="N24" i="53"/>
  <c r="J24" i="53"/>
  <c r="N20" i="53"/>
  <c r="L20" i="53"/>
  <c r="J20" i="53"/>
  <c r="L16" i="53"/>
  <c r="N16" i="53"/>
  <c r="J16" i="53"/>
  <c r="L12" i="53"/>
  <c r="N12" i="53"/>
  <c r="J12" i="53"/>
  <c r="I74" i="16"/>
  <c r="O62" i="16"/>
  <c r="O70" i="16"/>
  <c r="R24" i="30"/>
  <c r="R22" i="30"/>
  <c r="C19" i="5"/>
  <c r="P24" i="57"/>
  <c r="H33" i="57"/>
  <c r="P16" i="57"/>
  <c r="P12" i="57"/>
  <c r="P20" i="57"/>
  <c r="Q20" i="53"/>
  <c r="Q24" i="53"/>
  <c r="J32" i="53"/>
  <c r="Q16" i="53"/>
  <c r="Q12" i="53"/>
  <c r="B9" i="4"/>
  <c r="D7" i="4"/>
  <c r="C23" i="5"/>
  <c r="C24" i="5"/>
  <c r="R8" i="9"/>
  <c r="R6" i="9"/>
  <c r="S6" i="9"/>
  <c r="R3" i="9"/>
  <c r="R26" i="9"/>
  <c r="R27" i="9"/>
  <c r="R25" i="9"/>
  <c r="R18" i="9"/>
  <c r="R19" i="9"/>
  <c r="R17" i="9"/>
  <c r="R21" i="9"/>
  <c r="C10" i="5"/>
  <c r="BO244" i="11"/>
  <c r="BN244" i="11"/>
  <c r="BM244" i="11"/>
  <c r="BL244" i="11"/>
  <c r="BK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AA244" i="11"/>
  <c r="Z244" i="11"/>
  <c r="Y244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D244" i="11"/>
  <c r="G211" i="11"/>
  <c r="F211" i="11"/>
  <c r="E211" i="11"/>
  <c r="D211" i="11"/>
  <c r="G210" i="11"/>
  <c r="F210" i="11"/>
  <c r="E210" i="11"/>
  <c r="D210" i="11"/>
  <c r="G209" i="11"/>
  <c r="F209" i="11"/>
  <c r="E209" i="11"/>
  <c r="D209" i="11"/>
  <c r="G208" i="11"/>
  <c r="G212" i="11"/>
  <c r="F208" i="11"/>
  <c r="F212" i="11"/>
  <c r="E208" i="11"/>
  <c r="E212" i="11"/>
  <c r="D208" i="11"/>
  <c r="D212" i="11"/>
  <c r="G205" i="11"/>
  <c r="F205" i="11"/>
  <c r="E205" i="11"/>
  <c r="D205" i="11"/>
  <c r="G204" i="11"/>
  <c r="F204" i="11"/>
  <c r="E204" i="11"/>
  <c r="D204" i="11"/>
  <c r="G203" i="11"/>
  <c r="F203" i="11"/>
  <c r="E203" i="11"/>
  <c r="D203" i="11"/>
  <c r="G202" i="11"/>
  <c r="G206" i="11"/>
  <c r="F202" i="11"/>
  <c r="F206" i="11"/>
  <c r="E202" i="11"/>
  <c r="D202" i="11"/>
  <c r="D206" i="11"/>
  <c r="G191" i="11"/>
  <c r="F191" i="11"/>
  <c r="E191" i="11"/>
  <c r="D191" i="11"/>
  <c r="G190" i="11"/>
  <c r="G192" i="11"/>
  <c r="F190" i="11"/>
  <c r="F192" i="11"/>
  <c r="E190" i="11"/>
  <c r="E192" i="11"/>
  <c r="D190" i="11"/>
  <c r="D192" i="11"/>
  <c r="G187" i="11"/>
  <c r="F187" i="11"/>
  <c r="E187" i="11"/>
  <c r="D187" i="11"/>
  <c r="G186" i="11"/>
  <c r="F186" i="11"/>
  <c r="E186" i="11"/>
  <c r="D186" i="11"/>
  <c r="G185" i="11"/>
  <c r="F185" i="11"/>
  <c r="E185" i="11"/>
  <c r="D185" i="11"/>
  <c r="D188" i="11"/>
  <c r="G184" i="11"/>
  <c r="F184" i="11"/>
  <c r="F188" i="11"/>
  <c r="E184" i="11"/>
  <c r="D184" i="11"/>
  <c r="G181" i="11"/>
  <c r="F181" i="11"/>
  <c r="E181" i="11"/>
  <c r="D181" i="11"/>
  <c r="G180" i="11"/>
  <c r="F180" i="11"/>
  <c r="F182" i="11"/>
  <c r="E180" i="11"/>
  <c r="E182" i="11"/>
  <c r="D180" i="11"/>
  <c r="D182" i="11"/>
  <c r="G173" i="11"/>
  <c r="F173" i="11"/>
  <c r="E173" i="11"/>
  <c r="D173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B172" i="11"/>
  <c r="A172" i="11"/>
  <c r="BO171" i="11"/>
  <c r="BN171" i="11"/>
  <c r="BM171" i="11"/>
  <c r="BL171" i="11"/>
  <c r="BK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B171" i="11"/>
  <c r="A171" i="11"/>
  <c r="BO170" i="11"/>
  <c r="BN170" i="11"/>
  <c r="BM170" i="11"/>
  <c r="BL170" i="11"/>
  <c r="BK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B170" i="11"/>
  <c r="A170" i="11"/>
  <c r="BO169" i="11"/>
  <c r="BN169" i="11"/>
  <c r="BM169" i="11"/>
  <c r="BL169" i="11"/>
  <c r="BK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AA169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B169" i="11"/>
  <c r="A169" i="11"/>
  <c r="G166" i="11"/>
  <c r="F166" i="11"/>
  <c r="E166" i="11"/>
  <c r="D166" i="11"/>
  <c r="BO165" i="11"/>
  <c r="BN165" i="11"/>
  <c r="BM165" i="11"/>
  <c r="BL165" i="11"/>
  <c r="BK165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B165" i="11"/>
  <c r="A165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B164" i="11"/>
  <c r="A164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B163" i="11"/>
  <c r="A163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B162" i="11"/>
  <c r="A162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A161" i="11"/>
  <c r="G158" i="11"/>
  <c r="G175" i="11"/>
  <c r="F158" i="11"/>
  <c r="E158" i="11"/>
  <c r="E175" i="11"/>
  <c r="D158" i="11"/>
  <c r="A157" i="11"/>
  <c r="A156" i="11"/>
  <c r="A155" i="11"/>
  <c r="BO154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A154" i="11"/>
  <c r="G147" i="11"/>
  <c r="F147" i="11"/>
  <c r="E147" i="11"/>
  <c r="D147" i="11"/>
  <c r="BO146" i="11"/>
  <c r="BN146" i="11"/>
  <c r="BM146" i="11"/>
  <c r="BL146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B146" i="11"/>
  <c r="A146" i="11"/>
  <c r="BO145" i="11"/>
  <c r="BN145" i="11"/>
  <c r="BM145" i="11"/>
  <c r="BL145" i="11"/>
  <c r="BK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B145" i="11"/>
  <c r="A145" i="11"/>
  <c r="BO144" i="11"/>
  <c r="BN144" i="11"/>
  <c r="BM144" i="11"/>
  <c r="BL144" i="11"/>
  <c r="BK144" i="11"/>
  <c r="BJ144" i="11"/>
  <c r="BI144" i="11"/>
  <c r="BH144" i="11"/>
  <c r="BG144" i="1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B144" i="11"/>
  <c r="A144" i="11"/>
  <c r="BO143" i="11"/>
  <c r="BN143" i="11"/>
  <c r="BM143" i="11"/>
  <c r="BL143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B143" i="11"/>
  <c r="A143" i="11"/>
  <c r="G140" i="11"/>
  <c r="F140" i="11"/>
  <c r="E140" i="11"/>
  <c r="D140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B139" i="11"/>
  <c r="A139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B138" i="11"/>
  <c r="A138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B137" i="11"/>
  <c r="A137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B136" i="11"/>
  <c r="A136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B135" i="11"/>
  <c r="A135" i="11"/>
  <c r="G132" i="11"/>
  <c r="G149" i="11"/>
  <c r="F132" i="11"/>
  <c r="F149" i="11"/>
  <c r="E132" i="11"/>
  <c r="E149" i="11"/>
  <c r="D132" i="11"/>
  <c r="A131" i="11"/>
  <c r="A130" i="11"/>
  <c r="A129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A128" i="11"/>
  <c r="G121" i="11"/>
  <c r="F121" i="11"/>
  <c r="E121" i="11"/>
  <c r="D121" i="11"/>
  <c r="A120" i="11"/>
  <c r="A119" i="11"/>
  <c r="A118" i="11"/>
  <c r="A117" i="11"/>
  <c r="G114" i="11"/>
  <c r="G123" i="11"/>
  <c r="F114" i="11"/>
  <c r="E114" i="11"/>
  <c r="D114" i="11"/>
  <c r="A113" i="11"/>
  <c r="A112" i="11"/>
  <c r="A111" i="11"/>
  <c r="A110" i="11"/>
  <c r="A109" i="11"/>
  <c r="G106" i="11"/>
  <c r="F106" i="11"/>
  <c r="E106" i="11"/>
  <c r="D106" i="11"/>
  <c r="D123" i="11"/>
  <c r="A105" i="11"/>
  <c r="A104" i="11"/>
  <c r="A103" i="11"/>
  <c r="A102" i="11"/>
  <c r="BO94" i="11"/>
  <c r="BO218" i="11"/>
  <c r="BN94" i="11"/>
  <c r="BN218" i="11"/>
  <c r="BM94" i="11"/>
  <c r="BM218" i="11"/>
  <c r="BL94" i="11"/>
  <c r="BL218" i="11"/>
  <c r="BK94" i="11"/>
  <c r="BK218" i="11"/>
  <c r="BJ94" i="11"/>
  <c r="BJ218" i="11"/>
  <c r="BI94" i="11"/>
  <c r="BI218" i="11"/>
  <c r="BH94" i="11"/>
  <c r="BH218" i="11"/>
  <c r="BG94" i="11"/>
  <c r="BG218" i="11"/>
  <c r="BF94" i="11"/>
  <c r="BF218" i="11"/>
  <c r="BE94" i="11"/>
  <c r="BE218" i="11"/>
  <c r="BD94" i="11"/>
  <c r="BD218" i="11"/>
  <c r="BC94" i="11"/>
  <c r="BC218" i="11"/>
  <c r="BB94" i="11"/>
  <c r="BB218" i="11"/>
  <c r="BA94" i="11"/>
  <c r="BA218" i="11"/>
  <c r="AZ94" i="11"/>
  <c r="AZ218" i="11"/>
  <c r="AY94" i="11"/>
  <c r="AY218" i="11"/>
  <c r="AX94" i="11"/>
  <c r="AX218" i="11"/>
  <c r="AW94" i="11"/>
  <c r="AW218" i="11"/>
  <c r="AV94" i="11"/>
  <c r="AV218" i="11"/>
  <c r="AU94" i="11"/>
  <c r="AU218" i="11"/>
  <c r="AT94" i="11"/>
  <c r="AT218" i="11"/>
  <c r="AS94" i="11"/>
  <c r="AS218" i="11"/>
  <c r="AR94" i="11"/>
  <c r="AR218" i="11"/>
  <c r="AQ94" i="11"/>
  <c r="AQ218" i="11"/>
  <c r="AP94" i="11"/>
  <c r="AP218" i="11"/>
  <c r="AO94" i="11"/>
  <c r="AO218" i="11"/>
  <c r="AN94" i="11"/>
  <c r="AN218" i="11"/>
  <c r="AM94" i="11"/>
  <c r="AM218" i="11"/>
  <c r="AL94" i="11"/>
  <c r="AL218" i="11"/>
  <c r="AK94" i="11"/>
  <c r="AK218" i="11"/>
  <c r="AJ94" i="11"/>
  <c r="AJ218" i="11"/>
  <c r="AI94" i="11"/>
  <c r="AI218" i="11"/>
  <c r="AH94" i="11"/>
  <c r="AH218" i="11"/>
  <c r="AG94" i="11"/>
  <c r="AG218" i="11"/>
  <c r="AF94" i="11"/>
  <c r="AF218" i="11"/>
  <c r="AE94" i="11"/>
  <c r="AE218" i="11"/>
  <c r="AD94" i="11"/>
  <c r="AD218" i="11"/>
  <c r="AC94" i="11"/>
  <c r="AC218" i="11"/>
  <c r="AB94" i="11"/>
  <c r="AB218" i="11"/>
  <c r="AA94" i="11"/>
  <c r="AA218" i="11"/>
  <c r="Z94" i="11"/>
  <c r="Z218" i="11"/>
  <c r="Y94" i="11"/>
  <c r="Y218" i="11"/>
  <c r="X94" i="11"/>
  <c r="X218" i="11"/>
  <c r="W94" i="11"/>
  <c r="W218" i="11"/>
  <c r="V94" i="11"/>
  <c r="V218" i="11"/>
  <c r="U94" i="11"/>
  <c r="U218" i="11"/>
  <c r="T94" i="11"/>
  <c r="T218" i="11"/>
  <c r="S94" i="11"/>
  <c r="S218" i="11"/>
  <c r="R94" i="11"/>
  <c r="R218" i="11"/>
  <c r="Q94" i="11"/>
  <c r="Q218" i="11"/>
  <c r="P94" i="11"/>
  <c r="P218" i="11"/>
  <c r="O94" i="11"/>
  <c r="O218" i="11"/>
  <c r="N94" i="11"/>
  <c r="N218" i="11"/>
  <c r="M94" i="11"/>
  <c r="M218" i="11"/>
  <c r="L94" i="11"/>
  <c r="L218" i="11"/>
  <c r="K94" i="11"/>
  <c r="K218" i="11"/>
  <c r="J94" i="11"/>
  <c r="J218" i="11"/>
  <c r="I94" i="11"/>
  <c r="I218" i="11"/>
  <c r="H94" i="11"/>
  <c r="H218" i="11"/>
  <c r="G94" i="11"/>
  <c r="G218" i="11"/>
  <c r="F94" i="11"/>
  <c r="F218" i="11"/>
  <c r="E94" i="11"/>
  <c r="E218" i="11"/>
  <c r="D94" i="11"/>
  <c r="D218" i="11"/>
  <c r="A94" i="11"/>
  <c r="A218" i="11"/>
  <c r="BO93" i="11"/>
  <c r="BO217" i="11"/>
  <c r="BN93" i="11"/>
  <c r="BN217" i="11"/>
  <c r="BM93" i="11"/>
  <c r="BM217" i="11"/>
  <c r="BL93" i="11"/>
  <c r="BL217" i="11"/>
  <c r="BK93" i="11"/>
  <c r="BK217" i="11"/>
  <c r="BJ93" i="11"/>
  <c r="BJ217" i="11"/>
  <c r="BI93" i="11"/>
  <c r="BI217" i="11"/>
  <c r="BH93" i="11"/>
  <c r="BH217" i="11"/>
  <c r="BG93" i="11"/>
  <c r="BG217" i="11"/>
  <c r="BF93" i="11"/>
  <c r="BF217" i="11"/>
  <c r="BE93" i="11"/>
  <c r="BE217" i="11"/>
  <c r="BD93" i="11"/>
  <c r="BD217" i="11"/>
  <c r="BC93" i="11"/>
  <c r="BC217" i="11"/>
  <c r="BB93" i="11"/>
  <c r="BB217" i="11"/>
  <c r="BA93" i="11"/>
  <c r="BA217" i="11"/>
  <c r="AZ93" i="11"/>
  <c r="AZ217" i="11"/>
  <c r="AY93" i="11"/>
  <c r="AY217" i="11"/>
  <c r="AX93" i="11"/>
  <c r="AX217" i="11"/>
  <c r="AW93" i="11"/>
  <c r="AW217" i="11"/>
  <c r="AV93" i="11"/>
  <c r="AV217" i="11"/>
  <c r="AU93" i="11"/>
  <c r="AU217" i="11"/>
  <c r="AT93" i="11"/>
  <c r="AT217" i="11"/>
  <c r="AS93" i="11"/>
  <c r="AS217" i="11"/>
  <c r="AR93" i="11"/>
  <c r="AR217" i="11"/>
  <c r="AQ93" i="11"/>
  <c r="AQ217" i="11"/>
  <c r="AP93" i="11"/>
  <c r="AP217" i="11"/>
  <c r="AO93" i="11"/>
  <c r="AO217" i="11"/>
  <c r="AN93" i="11"/>
  <c r="AN217" i="11"/>
  <c r="AM93" i="11"/>
  <c r="AM217" i="11"/>
  <c r="AL93" i="11"/>
  <c r="AL217" i="11"/>
  <c r="AK93" i="11"/>
  <c r="AK217" i="11"/>
  <c r="AJ93" i="11"/>
  <c r="AJ217" i="11"/>
  <c r="AI93" i="11"/>
  <c r="AI217" i="11"/>
  <c r="AH93" i="11"/>
  <c r="AH217" i="11"/>
  <c r="AG93" i="11"/>
  <c r="AG217" i="11"/>
  <c r="AF93" i="11"/>
  <c r="AF217" i="11"/>
  <c r="AE93" i="11"/>
  <c r="AE217" i="11"/>
  <c r="AD93" i="11"/>
  <c r="AD217" i="11"/>
  <c r="AC93" i="11"/>
  <c r="AC217" i="11"/>
  <c r="AB93" i="11"/>
  <c r="AB217" i="11"/>
  <c r="AA93" i="11"/>
  <c r="AA217" i="11"/>
  <c r="Z93" i="11"/>
  <c r="Z217" i="11"/>
  <c r="Y93" i="11"/>
  <c r="Y217" i="11"/>
  <c r="X93" i="11"/>
  <c r="X217" i="11"/>
  <c r="W93" i="11"/>
  <c r="W217" i="11"/>
  <c r="V93" i="11"/>
  <c r="V217" i="11"/>
  <c r="U93" i="11"/>
  <c r="U217" i="11"/>
  <c r="T93" i="11"/>
  <c r="T217" i="11"/>
  <c r="S93" i="11"/>
  <c r="S217" i="11"/>
  <c r="R93" i="11"/>
  <c r="R217" i="11"/>
  <c r="Q93" i="11"/>
  <c r="Q217" i="11"/>
  <c r="P93" i="11"/>
  <c r="P217" i="11"/>
  <c r="O93" i="11"/>
  <c r="O217" i="11"/>
  <c r="N93" i="11"/>
  <c r="N217" i="11"/>
  <c r="M93" i="11"/>
  <c r="M217" i="11"/>
  <c r="L93" i="11"/>
  <c r="L217" i="11"/>
  <c r="K93" i="11"/>
  <c r="K217" i="11"/>
  <c r="J93" i="11"/>
  <c r="J217" i="11"/>
  <c r="I93" i="11"/>
  <c r="I217" i="11"/>
  <c r="H93" i="11"/>
  <c r="H217" i="11"/>
  <c r="G93" i="11"/>
  <c r="G217" i="11"/>
  <c r="F93" i="11"/>
  <c r="F217" i="11"/>
  <c r="E93" i="11"/>
  <c r="E217" i="11"/>
  <c r="D93" i="11"/>
  <c r="D217" i="11"/>
  <c r="A93" i="11"/>
  <c r="A217" i="11"/>
  <c r="BO92" i="11"/>
  <c r="BO195" i="11"/>
  <c r="BN92" i="11"/>
  <c r="BN195" i="11"/>
  <c r="BM92" i="11"/>
  <c r="BM195" i="11"/>
  <c r="BL92" i="11"/>
  <c r="BL195" i="11"/>
  <c r="BK92" i="11"/>
  <c r="BK195" i="11"/>
  <c r="BJ92" i="11"/>
  <c r="BJ195" i="11"/>
  <c r="BI92" i="11"/>
  <c r="BI195" i="11"/>
  <c r="BH92" i="11"/>
  <c r="BH195" i="11"/>
  <c r="BG92" i="11"/>
  <c r="BG195" i="11"/>
  <c r="BF92" i="11"/>
  <c r="BF195" i="11"/>
  <c r="BE92" i="11"/>
  <c r="BE195" i="11"/>
  <c r="BD92" i="11"/>
  <c r="BD195" i="11"/>
  <c r="BC92" i="11"/>
  <c r="BC195" i="11"/>
  <c r="BB92" i="11"/>
  <c r="BB195" i="11"/>
  <c r="BA92" i="11"/>
  <c r="BA195" i="11"/>
  <c r="AZ92" i="11"/>
  <c r="AZ195" i="11"/>
  <c r="AY92" i="11"/>
  <c r="AY195" i="11"/>
  <c r="AX92" i="11"/>
  <c r="AX195" i="11"/>
  <c r="AW92" i="11"/>
  <c r="AW195" i="11"/>
  <c r="AV92" i="11"/>
  <c r="AV195" i="11"/>
  <c r="AU92" i="11"/>
  <c r="AU195" i="11"/>
  <c r="AT92" i="11"/>
  <c r="AT195" i="11"/>
  <c r="AS92" i="11"/>
  <c r="AS195" i="11"/>
  <c r="AR92" i="11"/>
  <c r="AR195" i="11"/>
  <c r="AQ92" i="11"/>
  <c r="AQ195" i="11"/>
  <c r="AP92" i="11"/>
  <c r="AP195" i="11"/>
  <c r="AO92" i="11"/>
  <c r="AO195" i="11"/>
  <c r="AN92" i="11"/>
  <c r="AN195" i="11"/>
  <c r="AM92" i="11"/>
  <c r="AM195" i="11"/>
  <c r="AL92" i="11"/>
  <c r="AL195" i="11"/>
  <c r="AK92" i="11"/>
  <c r="AK195" i="11"/>
  <c r="AJ92" i="11"/>
  <c r="AJ195" i="11"/>
  <c r="AI92" i="11"/>
  <c r="AI195" i="11"/>
  <c r="AH92" i="11"/>
  <c r="AH195" i="11"/>
  <c r="AG92" i="11"/>
  <c r="AG195" i="11"/>
  <c r="AF92" i="11"/>
  <c r="AF195" i="11"/>
  <c r="AE92" i="11"/>
  <c r="AE195" i="11"/>
  <c r="AD92" i="11"/>
  <c r="AD195" i="11"/>
  <c r="AC92" i="11"/>
  <c r="AC195" i="11"/>
  <c r="AB92" i="11"/>
  <c r="AB195" i="11"/>
  <c r="AA92" i="11"/>
  <c r="AA195" i="11"/>
  <c r="Z92" i="11"/>
  <c r="Z195" i="11"/>
  <c r="Y92" i="11"/>
  <c r="Y195" i="11"/>
  <c r="X92" i="11"/>
  <c r="X195" i="11"/>
  <c r="W92" i="11"/>
  <c r="W195" i="11"/>
  <c r="V92" i="11"/>
  <c r="V195" i="11"/>
  <c r="U92" i="11"/>
  <c r="U195" i="11"/>
  <c r="T92" i="11"/>
  <c r="T195" i="11"/>
  <c r="S92" i="11"/>
  <c r="S195" i="11"/>
  <c r="R92" i="11"/>
  <c r="R195" i="11"/>
  <c r="Q92" i="11"/>
  <c r="Q195" i="11"/>
  <c r="P92" i="11"/>
  <c r="P195" i="11"/>
  <c r="O92" i="11"/>
  <c r="O195" i="11"/>
  <c r="N92" i="11"/>
  <c r="N195" i="11"/>
  <c r="M92" i="11"/>
  <c r="M195" i="11"/>
  <c r="L92" i="11"/>
  <c r="L195" i="11"/>
  <c r="K92" i="11"/>
  <c r="K195" i="11"/>
  <c r="J92" i="11"/>
  <c r="J195" i="11"/>
  <c r="I92" i="11"/>
  <c r="I195" i="11"/>
  <c r="H92" i="11"/>
  <c r="G92" i="11"/>
  <c r="G195" i="11"/>
  <c r="F92" i="11"/>
  <c r="F195" i="11"/>
  <c r="E92" i="11"/>
  <c r="E195" i="11"/>
  <c r="D92" i="11"/>
  <c r="D195" i="11"/>
  <c r="A92" i="11"/>
  <c r="A195" i="11"/>
  <c r="BO91" i="11"/>
  <c r="BO194" i="11"/>
  <c r="BN91" i="11"/>
  <c r="BN194" i="11"/>
  <c r="BM91" i="11"/>
  <c r="BM194" i="11"/>
  <c r="BL91" i="11"/>
  <c r="BL194" i="11"/>
  <c r="BK91" i="11"/>
  <c r="BK194" i="11"/>
  <c r="BJ91" i="11"/>
  <c r="BJ194" i="11"/>
  <c r="BI91" i="11"/>
  <c r="BI194" i="11"/>
  <c r="BH91" i="11"/>
  <c r="BH194" i="11"/>
  <c r="BG91" i="11"/>
  <c r="BG194" i="11"/>
  <c r="BF91" i="11"/>
  <c r="BF194" i="11"/>
  <c r="BE91" i="11"/>
  <c r="BE194" i="11"/>
  <c r="BD91" i="11"/>
  <c r="BD194" i="11"/>
  <c r="BC91" i="11"/>
  <c r="BC194" i="11"/>
  <c r="BB91" i="11"/>
  <c r="BB194" i="11"/>
  <c r="BA91" i="11"/>
  <c r="BA194" i="11"/>
  <c r="AZ91" i="11"/>
  <c r="AZ194" i="11"/>
  <c r="AY91" i="11"/>
  <c r="AY194" i="11"/>
  <c r="AX91" i="11"/>
  <c r="AX194" i="11"/>
  <c r="AW91" i="11"/>
  <c r="AW194" i="11"/>
  <c r="AV91" i="11"/>
  <c r="AV194" i="11"/>
  <c r="AU91" i="11"/>
  <c r="AU194" i="11"/>
  <c r="AT91" i="11"/>
  <c r="AT194" i="11"/>
  <c r="AS91" i="11"/>
  <c r="AS194" i="11"/>
  <c r="AR91" i="11"/>
  <c r="AR194" i="11"/>
  <c r="AQ91" i="11"/>
  <c r="AQ194" i="11"/>
  <c r="AP91" i="11"/>
  <c r="AP194" i="11"/>
  <c r="AO91" i="11"/>
  <c r="AO194" i="11"/>
  <c r="AN91" i="11"/>
  <c r="AN194" i="11"/>
  <c r="AM91" i="11"/>
  <c r="AM194" i="11"/>
  <c r="AL91" i="11"/>
  <c r="AL194" i="11"/>
  <c r="AK91" i="11"/>
  <c r="AK194" i="11"/>
  <c r="AJ91" i="11"/>
  <c r="AJ194" i="11"/>
  <c r="AI91" i="11"/>
  <c r="AI194" i="11"/>
  <c r="AH91" i="11"/>
  <c r="AH194" i="11"/>
  <c r="AG91" i="11"/>
  <c r="AG194" i="11"/>
  <c r="AF91" i="11"/>
  <c r="AF194" i="11"/>
  <c r="AE91" i="11"/>
  <c r="AE194" i="11"/>
  <c r="AD91" i="11"/>
  <c r="AD194" i="11"/>
  <c r="AC91" i="11"/>
  <c r="AC194" i="11"/>
  <c r="AB91" i="11"/>
  <c r="AB194" i="11"/>
  <c r="AA91" i="11"/>
  <c r="AA194" i="11"/>
  <c r="Z91" i="11"/>
  <c r="Z194" i="11"/>
  <c r="Y91" i="11"/>
  <c r="Y194" i="11"/>
  <c r="X91" i="11"/>
  <c r="X194" i="11"/>
  <c r="W91" i="11"/>
  <c r="W194" i="11"/>
  <c r="V91" i="11"/>
  <c r="V194" i="11"/>
  <c r="U91" i="11"/>
  <c r="U194" i="11"/>
  <c r="T91" i="11"/>
  <c r="T194" i="11"/>
  <c r="S91" i="11"/>
  <c r="S194" i="11"/>
  <c r="R91" i="11"/>
  <c r="R194" i="11"/>
  <c r="Q91" i="11"/>
  <c r="Q194" i="11"/>
  <c r="Q196" i="11"/>
  <c r="P91" i="11"/>
  <c r="P194" i="11"/>
  <c r="O91" i="11"/>
  <c r="O194" i="11"/>
  <c r="N91" i="11"/>
  <c r="N194" i="11"/>
  <c r="M91" i="11"/>
  <c r="M194" i="11"/>
  <c r="L91" i="11"/>
  <c r="L194" i="11"/>
  <c r="K91" i="11"/>
  <c r="K194" i="11"/>
  <c r="J91" i="11"/>
  <c r="J194" i="11"/>
  <c r="I91" i="11"/>
  <c r="I194" i="11"/>
  <c r="H91" i="11"/>
  <c r="H194" i="11"/>
  <c r="G91" i="11"/>
  <c r="G194" i="11"/>
  <c r="F91" i="11"/>
  <c r="F194" i="11"/>
  <c r="E91" i="11"/>
  <c r="E194" i="11"/>
  <c r="E196" i="11"/>
  <c r="D91" i="11"/>
  <c r="D194" i="11"/>
  <c r="A91" i="11"/>
  <c r="A194" i="11"/>
  <c r="BO90" i="11"/>
  <c r="BO216" i="11"/>
  <c r="BN90" i="11"/>
  <c r="BN216" i="11"/>
  <c r="BM90" i="11"/>
  <c r="BM216" i="11"/>
  <c r="BL90" i="11"/>
  <c r="BL216" i="11"/>
  <c r="BK90" i="11"/>
  <c r="BK216" i="11"/>
  <c r="BJ90" i="11"/>
  <c r="BJ216" i="11"/>
  <c r="BI90" i="11"/>
  <c r="BI216" i="11"/>
  <c r="BH90" i="11"/>
  <c r="BH216" i="11"/>
  <c r="BG90" i="11"/>
  <c r="BG216" i="11"/>
  <c r="BF90" i="11"/>
  <c r="BF216" i="11"/>
  <c r="BE90" i="11"/>
  <c r="BE216" i="11"/>
  <c r="BD90" i="11"/>
  <c r="BD216" i="11"/>
  <c r="BC90" i="11"/>
  <c r="BC216" i="11"/>
  <c r="BB90" i="11"/>
  <c r="BB216" i="11"/>
  <c r="BA90" i="11"/>
  <c r="BA216" i="11"/>
  <c r="AZ90" i="11"/>
  <c r="AZ216" i="11"/>
  <c r="AY90" i="11"/>
  <c r="AY216" i="11"/>
  <c r="AX90" i="11"/>
  <c r="AX216" i="11"/>
  <c r="AW90" i="11"/>
  <c r="AW216" i="11"/>
  <c r="AV90" i="11"/>
  <c r="AV216" i="11"/>
  <c r="AU90" i="11"/>
  <c r="AU216" i="11"/>
  <c r="AT90" i="11"/>
  <c r="AT216" i="11"/>
  <c r="AS90" i="11"/>
  <c r="AS216" i="11"/>
  <c r="AR90" i="11"/>
  <c r="AR216" i="11"/>
  <c r="AQ90" i="11"/>
  <c r="AQ216" i="11"/>
  <c r="AP90" i="11"/>
  <c r="AP216" i="11"/>
  <c r="AO90" i="11"/>
  <c r="AO216" i="11"/>
  <c r="AN90" i="11"/>
  <c r="AN216" i="11"/>
  <c r="AM90" i="11"/>
  <c r="AM216" i="11"/>
  <c r="AL90" i="11"/>
  <c r="AL216" i="11"/>
  <c r="AK90" i="11"/>
  <c r="AK216" i="11"/>
  <c r="AJ90" i="11"/>
  <c r="AJ216" i="11"/>
  <c r="AI90" i="11"/>
  <c r="AI216" i="11"/>
  <c r="AH90" i="11"/>
  <c r="AH216" i="11"/>
  <c r="AG90" i="11"/>
  <c r="AG216" i="11"/>
  <c r="AF90" i="11"/>
  <c r="AF216" i="11"/>
  <c r="AE90" i="11"/>
  <c r="AE216" i="11"/>
  <c r="AD90" i="11"/>
  <c r="AD216" i="11"/>
  <c r="AC90" i="11"/>
  <c r="AC216" i="11"/>
  <c r="AB90" i="11"/>
  <c r="AB216" i="11"/>
  <c r="AA90" i="11"/>
  <c r="AA216" i="11"/>
  <c r="Z90" i="11"/>
  <c r="Z216" i="11"/>
  <c r="Y90" i="11"/>
  <c r="Y216" i="11"/>
  <c r="X90" i="11"/>
  <c r="X216" i="11"/>
  <c r="W90" i="11"/>
  <c r="W216" i="11"/>
  <c r="V90" i="11"/>
  <c r="V216" i="11"/>
  <c r="U90" i="11"/>
  <c r="U216" i="11"/>
  <c r="T90" i="11"/>
  <c r="T216" i="11"/>
  <c r="S90" i="11"/>
  <c r="S216" i="11"/>
  <c r="R90" i="11"/>
  <c r="R216" i="11"/>
  <c r="Q90" i="11"/>
  <c r="Q216" i="11"/>
  <c r="P90" i="11"/>
  <c r="P216" i="11"/>
  <c r="O90" i="11"/>
  <c r="O216" i="11"/>
  <c r="N90" i="11"/>
  <c r="N216" i="11"/>
  <c r="M90" i="11"/>
  <c r="M216" i="11"/>
  <c r="L90" i="11"/>
  <c r="L216" i="11"/>
  <c r="K90" i="11"/>
  <c r="K216" i="11"/>
  <c r="J90" i="11"/>
  <c r="J216" i="11"/>
  <c r="I90" i="11"/>
  <c r="I216" i="11"/>
  <c r="H90" i="11"/>
  <c r="G90" i="11"/>
  <c r="G216" i="11"/>
  <c r="F90" i="11"/>
  <c r="F216" i="11"/>
  <c r="E90" i="11"/>
  <c r="E216" i="11"/>
  <c r="D90" i="11"/>
  <c r="D216" i="11"/>
  <c r="A90" i="11"/>
  <c r="A216" i="11"/>
  <c r="BO89" i="11"/>
  <c r="BO215" i="11"/>
  <c r="BN89" i="11"/>
  <c r="BN215" i="11"/>
  <c r="BM89" i="11"/>
  <c r="BM215" i="11"/>
  <c r="BL89" i="11"/>
  <c r="BL215" i="11"/>
  <c r="BK89" i="11"/>
  <c r="BK215" i="11"/>
  <c r="BJ89" i="11"/>
  <c r="BJ215" i="11"/>
  <c r="BI89" i="11"/>
  <c r="BI215" i="11"/>
  <c r="BH89" i="11"/>
  <c r="BH215" i="11"/>
  <c r="BG89" i="11"/>
  <c r="BG215" i="11"/>
  <c r="BF89" i="11"/>
  <c r="BF215" i="11"/>
  <c r="BE89" i="11"/>
  <c r="BE215" i="11"/>
  <c r="BD89" i="11"/>
  <c r="BD215" i="11"/>
  <c r="BC89" i="11"/>
  <c r="BC215" i="11"/>
  <c r="BB89" i="11"/>
  <c r="BB215" i="11"/>
  <c r="BA89" i="11"/>
  <c r="BA215" i="11"/>
  <c r="AZ89" i="11"/>
  <c r="AZ215" i="11"/>
  <c r="AY89" i="11"/>
  <c r="AY215" i="11"/>
  <c r="AX89" i="11"/>
  <c r="AX215" i="11"/>
  <c r="AW89" i="11"/>
  <c r="AW215" i="11"/>
  <c r="AV89" i="11"/>
  <c r="AV215" i="11"/>
  <c r="AU89" i="11"/>
  <c r="AU215" i="11"/>
  <c r="AT89" i="11"/>
  <c r="AT215" i="11"/>
  <c r="AS89" i="11"/>
  <c r="AS215" i="11"/>
  <c r="AR89" i="11"/>
  <c r="AR215" i="11"/>
  <c r="AQ89" i="11"/>
  <c r="AQ215" i="11"/>
  <c r="AP89" i="11"/>
  <c r="AP215" i="11"/>
  <c r="AO89" i="11"/>
  <c r="AO215" i="11"/>
  <c r="AN89" i="11"/>
  <c r="AN215" i="11"/>
  <c r="AM89" i="11"/>
  <c r="AM215" i="11"/>
  <c r="AL89" i="11"/>
  <c r="AL215" i="11"/>
  <c r="AK89" i="11"/>
  <c r="AK215" i="11"/>
  <c r="AJ89" i="11"/>
  <c r="AJ215" i="11"/>
  <c r="AI89" i="11"/>
  <c r="AI215" i="11"/>
  <c r="AH89" i="11"/>
  <c r="AH215" i="11"/>
  <c r="AG89" i="11"/>
  <c r="AG215" i="11"/>
  <c r="AF89" i="11"/>
  <c r="AF215" i="11"/>
  <c r="AE89" i="11"/>
  <c r="AE215" i="11"/>
  <c r="AD89" i="11"/>
  <c r="AD215" i="11"/>
  <c r="AC89" i="11"/>
  <c r="AC215" i="11"/>
  <c r="AB89" i="11"/>
  <c r="AB215" i="11"/>
  <c r="AA89" i="11"/>
  <c r="AA215" i="11"/>
  <c r="Z89" i="11"/>
  <c r="Z215" i="11"/>
  <c r="Y89" i="11"/>
  <c r="Y215" i="11"/>
  <c r="X89" i="11"/>
  <c r="X215" i="11"/>
  <c r="W89" i="11"/>
  <c r="W215" i="11"/>
  <c r="V89" i="11"/>
  <c r="V215" i="11"/>
  <c r="U89" i="11"/>
  <c r="U215" i="11"/>
  <c r="T89" i="11"/>
  <c r="T215" i="11"/>
  <c r="S89" i="11"/>
  <c r="S215" i="11"/>
  <c r="R89" i="11"/>
  <c r="R215" i="11"/>
  <c r="Q89" i="11"/>
  <c r="Q215" i="11"/>
  <c r="P89" i="11"/>
  <c r="P215" i="11"/>
  <c r="O89" i="11"/>
  <c r="O215" i="11"/>
  <c r="N89" i="11"/>
  <c r="N215" i="11"/>
  <c r="M89" i="11"/>
  <c r="M215" i="11"/>
  <c r="L89" i="11"/>
  <c r="L215" i="11"/>
  <c r="K89" i="11"/>
  <c r="K215" i="11"/>
  <c r="J89" i="11"/>
  <c r="J215" i="11"/>
  <c r="I89" i="11"/>
  <c r="I215" i="11"/>
  <c r="H89" i="11"/>
  <c r="H215" i="11"/>
  <c r="G89" i="11"/>
  <c r="G215" i="11"/>
  <c r="F89" i="11"/>
  <c r="F215" i="11"/>
  <c r="E89" i="11"/>
  <c r="E215" i="11"/>
  <c r="D89" i="11"/>
  <c r="D215" i="11"/>
  <c r="A89" i="11"/>
  <c r="A215" i="11"/>
  <c r="BO88" i="11"/>
  <c r="BO214" i="11"/>
  <c r="BN88" i="11"/>
  <c r="BN214" i="11"/>
  <c r="BM88" i="11"/>
  <c r="BM214" i="11"/>
  <c r="BL88" i="11"/>
  <c r="BL214" i="11"/>
  <c r="BK88" i="11"/>
  <c r="BK214" i="11"/>
  <c r="BJ88" i="11"/>
  <c r="BJ214" i="11"/>
  <c r="BI88" i="11"/>
  <c r="BI214" i="11"/>
  <c r="BH88" i="11"/>
  <c r="BH214" i="11"/>
  <c r="BG88" i="11"/>
  <c r="BG214" i="11"/>
  <c r="BF88" i="11"/>
  <c r="BF214" i="11"/>
  <c r="BE88" i="11"/>
  <c r="BE214" i="11"/>
  <c r="BD88" i="11"/>
  <c r="BD214" i="11"/>
  <c r="BC88" i="11"/>
  <c r="BC214" i="11"/>
  <c r="BB88" i="11"/>
  <c r="BB214" i="11"/>
  <c r="BA88" i="11"/>
  <c r="BA214" i="11"/>
  <c r="AZ88" i="11"/>
  <c r="AZ214" i="11"/>
  <c r="AY88" i="11"/>
  <c r="AY214" i="11"/>
  <c r="AX88" i="11"/>
  <c r="AX214" i="11"/>
  <c r="AW88" i="11"/>
  <c r="AW214" i="11"/>
  <c r="AV88" i="11"/>
  <c r="AV214" i="11"/>
  <c r="AU88" i="11"/>
  <c r="AU214" i="11"/>
  <c r="AT88" i="11"/>
  <c r="AT214" i="11"/>
  <c r="AS88" i="11"/>
  <c r="AS214" i="11"/>
  <c r="AR88" i="11"/>
  <c r="AR214" i="11"/>
  <c r="AQ88" i="11"/>
  <c r="AQ214" i="11"/>
  <c r="AP88" i="11"/>
  <c r="AP214" i="11"/>
  <c r="AO88" i="11"/>
  <c r="AO214" i="11"/>
  <c r="AN88" i="11"/>
  <c r="AN214" i="11"/>
  <c r="AM88" i="11"/>
  <c r="AM214" i="11"/>
  <c r="AL88" i="11"/>
  <c r="AL214" i="11"/>
  <c r="AK88" i="11"/>
  <c r="AK214" i="11"/>
  <c r="AJ88" i="11"/>
  <c r="AJ214" i="11"/>
  <c r="AI88" i="11"/>
  <c r="AI214" i="11"/>
  <c r="AH88" i="11"/>
  <c r="AH214" i="11"/>
  <c r="AG88" i="11"/>
  <c r="AG214" i="11"/>
  <c r="AF88" i="11"/>
  <c r="AF214" i="11"/>
  <c r="AE88" i="11"/>
  <c r="AE214" i="11"/>
  <c r="AD88" i="11"/>
  <c r="AD214" i="11"/>
  <c r="AC88" i="11"/>
  <c r="AC214" i="11"/>
  <c r="AB88" i="11"/>
  <c r="AB214" i="11"/>
  <c r="AA88" i="11"/>
  <c r="AA214" i="11"/>
  <c r="Z88" i="11"/>
  <c r="Z214" i="11"/>
  <c r="Y88" i="11"/>
  <c r="Y214" i="11"/>
  <c r="X88" i="11"/>
  <c r="X214" i="11"/>
  <c r="W88" i="11"/>
  <c r="W214" i="11"/>
  <c r="V88" i="11"/>
  <c r="V214" i="11"/>
  <c r="U88" i="11"/>
  <c r="U214" i="11"/>
  <c r="T88" i="11"/>
  <c r="T214" i="11"/>
  <c r="S88" i="11"/>
  <c r="S214" i="11"/>
  <c r="R88" i="11"/>
  <c r="R214" i="11"/>
  <c r="Q88" i="11"/>
  <c r="Q214" i="11"/>
  <c r="P88" i="11"/>
  <c r="P214" i="11"/>
  <c r="O88" i="11"/>
  <c r="O214" i="11"/>
  <c r="N88" i="11"/>
  <c r="N214" i="11"/>
  <c r="M88" i="11"/>
  <c r="M214" i="11"/>
  <c r="L88" i="11"/>
  <c r="L214" i="11"/>
  <c r="K88" i="11"/>
  <c r="K214" i="11"/>
  <c r="J88" i="11"/>
  <c r="J214" i="11"/>
  <c r="I88" i="11"/>
  <c r="I214" i="11"/>
  <c r="H88" i="11"/>
  <c r="G88" i="11"/>
  <c r="G214" i="11"/>
  <c r="F88" i="11"/>
  <c r="F214" i="11"/>
  <c r="E88" i="11"/>
  <c r="E214" i="11"/>
  <c r="D88" i="11"/>
  <c r="D214" i="11"/>
  <c r="A88" i="11"/>
  <c r="A214" i="11"/>
  <c r="A87" i="11"/>
  <c r="G84" i="11"/>
  <c r="F84" i="11"/>
  <c r="E84" i="11"/>
  <c r="D84" i="11"/>
  <c r="BO83" i="11"/>
  <c r="BO191" i="11"/>
  <c r="BN83" i="11"/>
  <c r="BN191" i="11"/>
  <c r="BM83" i="11"/>
  <c r="BM191" i="11"/>
  <c r="BL83" i="11"/>
  <c r="BL191" i="11"/>
  <c r="BK83" i="11"/>
  <c r="BK191" i="11"/>
  <c r="BJ83" i="11"/>
  <c r="BJ191" i="11"/>
  <c r="BI83" i="11"/>
  <c r="BI191" i="11"/>
  <c r="BH83" i="11"/>
  <c r="BH191" i="11"/>
  <c r="BG83" i="11"/>
  <c r="BF83" i="11"/>
  <c r="BF191" i="11"/>
  <c r="BE83" i="11"/>
  <c r="BE191" i="11"/>
  <c r="BD83" i="11"/>
  <c r="BD191" i="11"/>
  <c r="BC83" i="11"/>
  <c r="BC191" i="11"/>
  <c r="BB83" i="11"/>
  <c r="BB191" i="11"/>
  <c r="BA83" i="11"/>
  <c r="BA191" i="11"/>
  <c r="AZ83" i="11"/>
  <c r="AZ191" i="11"/>
  <c r="AY83" i="11"/>
  <c r="AY191" i="11"/>
  <c r="AX83" i="11"/>
  <c r="AX191" i="11"/>
  <c r="AW83" i="11"/>
  <c r="AW191" i="11"/>
  <c r="AV83" i="11"/>
  <c r="AV191" i="11"/>
  <c r="AU83" i="11"/>
  <c r="AT83" i="11"/>
  <c r="AT191" i="11"/>
  <c r="AS83" i="11"/>
  <c r="AS191" i="11"/>
  <c r="AR83" i="11"/>
  <c r="AR191" i="11"/>
  <c r="AQ83" i="11"/>
  <c r="AQ191" i="11"/>
  <c r="AP83" i="11"/>
  <c r="AP191" i="11"/>
  <c r="AO83" i="11"/>
  <c r="AO191" i="11"/>
  <c r="AN83" i="11"/>
  <c r="AN191" i="11"/>
  <c r="AM83" i="11"/>
  <c r="AM191" i="11"/>
  <c r="AL83" i="11"/>
  <c r="AL191" i="11"/>
  <c r="AK83" i="11"/>
  <c r="AK191" i="11"/>
  <c r="AJ83" i="11"/>
  <c r="AJ191" i="11"/>
  <c r="AI83" i="11"/>
  <c r="AH83" i="11"/>
  <c r="AH191" i="11"/>
  <c r="AG83" i="11"/>
  <c r="AG191" i="11"/>
  <c r="AF83" i="11"/>
  <c r="AF191" i="11"/>
  <c r="AE83" i="11"/>
  <c r="AE191" i="11"/>
  <c r="AD83" i="11"/>
  <c r="AD191" i="11"/>
  <c r="AC83" i="11"/>
  <c r="AC191" i="11"/>
  <c r="AB83" i="11"/>
  <c r="AB191" i="11"/>
  <c r="AA83" i="11"/>
  <c r="AA191" i="11"/>
  <c r="Z83" i="11"/>
  <c r="Z191" i="11"/>
  <c r="Y83" i="11"/>
  <c r="Y191" i="11"/>
  <c r="X83" i="11"/>
  <c r="X191" i="11"/>
  <c r="W83" i="11"/>
  <c r="V83" i="11"/>
  <c r="V191" i="11"/>
  <c r="U83" i="11"/>
  <c r="U191" i="11"/>
  <c r="T83" i="11"/>
  <c r="T191" i="11"/>
  <c r="S83" i="11"/>
  <c r="S191" i="11"/>
  <c r="R83" i="11"/>
  <c r="R191" i="11"/>
  <c r="Q83" i="11"/>
  <c r="Q191" i="11"/>
  <c r="P83" i="11"/>
  <c r="P191" i="11"/>
  <c r="O83" i="11"/>
  <c r="O191" i="11"/>
  <c r="N83" i="11"/>
  <c r="N191" i="11"/>
  <c r="M83" i="11"/>
  <c r="M191" i="11"/>
  <c r="L83" i="11"/>
  <c r="L191" i="11"/>
  <c r="K83" i="11"/>
  <c r="J83" i="11"/>
  <c r="J191" i="11"/>
  <c r="I83" i="11"/>
  <c r="I191" i="11"/>
  <c r="H83" i="11"/>
  <c r="H191" i="11"/>
  <c r="A83" i="11"/>
  <c r="A191" i="11"/>
  <c r="BO82" i="11"/>
  <c r="BO190" i="11"/>
  <c r="BN82" i="11"/>
  <c r="BN190" i="11"/>
  <c r="BM82" i="11"/>
  <c r="BL82" i="11"/>
  <c r="BK82" i="11"/>
  <c r="BJ82" i="11"/>
  <c r="BI82" i="11"/>
  <c r="BH82" i="11"/>
  <c r="BH190" i="11"/>
  <c r="BG82" i="11"/>
  <c r="BG190" i="11"/>
  <c r="BF82" i="11"/>
  <c r="BF190" i="11"/>
  <c r="BE82" i="11"/>
  <c r="BE190" i="11"/>
  <c r="BD82" i="11"/>
  <c r="BD190" i="11"/>
  <c r="BC82" i="11"/>
  <c r="BC190" i="11"/>
  <c r="BB82" i="11"/>
  <c r="BB190" i="11"/>
  <c r="BA82" i="11"/>
  <c r="AZ82" i="11"/>
  <c r="AY82" i="11"/>
  <c r="AX82" i="11"/>
  <c r="AW82" i="11"/>
  <c r="AV82" i="11"/>
  <c r="AV190" i="11"/>
  <c r="AU82" i="11"/>
  <c r="AU190" i="11"/>
  <c r="AT82" i="11"/>
  <c r="AT190" i="11"/>
  <c r="AS82" i="11"/>
  <c r="AS190" i="11"/>
  <c r="AR82" i="11"/>
  <c r="AR190" i="11"/>
  <c r="AQ82" i="11"/>
  <c r="AQ190" i="11"/>
  <c r="AP82" i="11"/>
  <c r="AP190" i="11"/>
  <c r="AO82" i="11"/>
  <c r="AN82" i="11"/>
  <c r="AM82" i="11"/>
  <c r="AL82" i="11"/>
  <c r="AK82" i="11"/>
  <c r="AJ82" i="11"/>
  <c r="AJ190" i="11"/>
  <c r="AI82" i="11"/>
  <c r="AI190" i="11"/>
  <c r="AH82" i="11"/>
  <c r="AH190" i="11"/>
  <c r="AG82" i="11"/>
  <c r="AG190" i="11"/>
  <c r="AF82" i="11"/>
  <c r="AF190" i="11"/>
  <c r="AE82" i="11"/>
  <c r="AE190" i="11"/>
  <c r="AD82" i="11"/>
  <c r="AD190" i="11"/>
  <c r="AC82" i="11"/>
  <c r="AB82" i="11"/>
  <c r="AA82" i="11"/>
  <c r="Z82" i="11"/>
  <c r="Y82" i="11"/>
  <c r="X82" i="11"/>
  <c r="X190" i="11"/>
  <c r="W82" i="11"/>
  <c r="W190" i="11"/>
  <c r="V82" i="11"/>
  <c r="V190" i="11"/>
  <c r="U82" i="11"/>
  <c r="U190" i="11"/>
  <c r="T82" i="11"/>
  <c r="T190" i="11"/>
  <c r="S82" i="11"/>
  <c r="S190" i="11"/>
  <c r="R82" i="11"/>
  <c r="R190" i="11"/>
  <c r="Q82" i="11"/>
  <c r="P82" i="11"/>
  <c r="O82" i="11"/>
  <c r="N82" i="11"/>
  <c r="M82" i="11"/>
  <c r="L82" i="11"/>
  <c r="L190" i="11"/>
  <c r="K82" i="11"/>
  <c r="K190" i="11"/>
  <c r="J82" i="11"/>
  <c r="J190" i="11"/>
  <c r="I82" i="11"/>
  <c r="I190" i="11"/>
  <c r="H82" i="11"/>
  <c r="H84" i="11"/>
  <c r="A82" i="11"/>
  <c r="A190" i="11"/>
  <c r="G79" i="11"/>
  <c r="F79" i="11"/>
  <c r="E79" i="11"/>
  <c r="D79" i="11"/>
  <c r="BO78" i="11"/>
  <c r="BO187" i="11"/>
  <c r="BN78" i="11"/>
  <c r="BM78" i="11"/>
  <c r="BL78" i="11"/>
  <c r="BK78" i="11"/>
  <c r="BK187" i="11"/>
  <c r="BJ78" i="11"/>
  <c r="BI78" i="11"/>
  <c r="BI187" i="11"/>
  <c r="BH78" i="11"/>
  <c r="BG78" i="11"/>
  <c r="BF78" i="11"/>
  <c r="BE78" i="11"/>
  <c r="BD78" i="11"/>
  <c r="BC78" i="11"/>
  <c r="BC187" i="11"/>
  <c r="BB78" i="11"/>
  <c r="BA78" i="11"/>
  <c r="AZ78" i="11"/>
  <c r="AY78" i="11"/>
  <c r="AX78" i="11"/>
  <c r="AW78" i="11"/>
  <c r="AV78" i="11"/>
  <c r="AV187" i="11"/>
  <c r="AU78" i="11"/>
  <c r="AT78" i="11"/>
  <c r="AS78" i="11"/>
  <c r="AS187" i="11"/>
  <c r="AR78" i="11"/>
  <c r="AR187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F187" i="11"/>
  <c r="AE78" i="11"/>
  <c r="AD78" i="11"/>
  <c r="AC78" i="11"/>
  <c r="AB78" i="11"/>
  <c r="AA78" i="11"/>
  <c r="Z78" i="11"/>
  <c r="Y78" i="11"/>
  <c r="Y187" i="11"/>
  <c r="X78" i="11"/>
  <c r="W78" i="11"/>
  <c r="V78" i="11"/>
  <c r="U78" i="11"/>
  <c r="T78" i="11"/>
  <c r="T187" i="11"/>
  <c r="S78" i="11"/>
  <c r="S187" i="11"/>
  <c r="R78" i="11"/>
  <c r="Q78" i="11"/>
  <c r="P78" i="11"/>
  <c r="O78" i="11"/>
  <c r="O187" i="11"/>
  <c r="N78" i="11"/>
  <c r="M78" i="11"/>
  <c r="M187" i="11"/>
  <c r="L78" i="11"/>
  <c r="L187" i="11"/>
  <c r="K78" i="11"/>
  <c r="J78" i="11"/>
  <c r="I78" i="11"/>
  <c r="I187" i="11"/>
  <c r="H78" i="11"/>
  <c r="H187" i="11"/>
  <c r="A78" i="11"/>
  <c r="A187" i="11"/>
  <c r="BO77" i="11"/>
  <c r="BN77" i="11"/>
  <c r="BM77" i="11"/>
  <c r="BL77" i="11"/>
  <c r="BK77" i="11"/>
  <c r="BJ77" i="11"/>
  <c r="BJ186" i="11"/>
  <c r="BI77" i="11"/>
  <c r="BH77" i="11"/>
  <c r="BG77" i="11"/>
  <c r="BF77" i="11"/>
  <c r="BF186" i="11"/>
  <c r="BE77" i="11"/>
  <c r="BE186" i="11"/>
  <c r="BD77" i="11"/>
  <c r="BD186" i="11"/>
  <c r="BC77" i="11"/>
  <c r="BB77" i="11"/>
  <c r="BA77" i="11"/>
  <c r="AZ77" i="11"/>
  <c r="AZ186" i="11"/>
  <c r="AY77" i="11"/>
  <c r="AX77" i="11"/>
  <c r="AX186" i="11"/>
  <c r="AW77" i="11"/>
  <c r="AW186" i="11"/>
  <c r="AV77" i="11"/>
  <c r="AU77" i="11"/>
  <c r="AT77" i="11"/>
  <c r="AS77" i="11"/>
  <c r="AS186" i="11"/>
  <c r="AR77" i="11"/>
  <c r="AR186" i="11"/>
  <c r="AQ77" i="11"/>
  <c r="AP77" i="11"/>
  <c r="AO77" i="11"/>
  <c r="AN77" i="11"/>
  <c r="AM77" i="11"/>
  <c r="AL77" i="11"/>
  <c r="AK77" i="11"/>
  <c r="AJ77" i="11"/>
  <c r="AI77" i="11"/>
  <c r="AH77" i="11"/>
  <c r="AG77" i="11"/>
  <c r="AG186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U186" i="11"/>
  <c r="T77" i="11"/>
  <c r="S77" i="11"/>
  <c r="R77" i="11"/>
  <c r="Q77" i="11"/>
  <c r="P77" i="11"/>
  <c r="P186" i="11"/>
  <c r="O77" i="11"/>
  <c r="N77" i="11"/>
  <c r="N186" i="11"/>
  <c r="M77" i="11"/>
  <c r="M186" i="11"/>
  <c r="L77" i="11"/>
  <c r="K77" i="11"/>
  <c r="J77" i="11"/>
  <c r="J186" i="11"/>
  <c r="I77" i="11"/>
  <c r="I186" i="11"/>
  <c r="H77" i="11"/>
  <c r="H186" i="11"/>
  <c r="A77" i="11"/>
  <c r="A186" i="11"/>
  <c r="BO76" i="11"/>
  <c r="BN76" i="11"/>
  <c r="BM76" i="11"/>
  <c r="BL76" i="11"/>
  <c r="BK76" i="11"/>
  <c r="BJ76" i="11"/>
  <c r="BI76" i="11"/>
  <c r="BH76" i="11"/>
  <c r="BG76" i="11"/>
  <c r="BF76" i="11"/>
  <c r="BF185" i="11"/>
  <c r="BE76" i="11"/>
  <c r="BE185" i="11"/>
  <c r="BD76" i="11"/>
  <c r="BC76" i="11"/>
  <c r="BB76" i="11"/>
  <c r="BA76" i="11"/>
  <c r="BA185" i="11"/>
  <c r="AZ76" i="11"/>
  <c r="AY76" i="11"/>
  <c r="AY185" i="11"/>
  <c r="AX76" i="11"/>
  <c r="AX185" i="11"/>
  <c r="AW76" i="11"/>
  <c r="AV76" i="11"/>
  <c r="AU76" i="11"/>
  <c r="AU185" i="11"/>
  <c r="AT76" i="11"/>
  <c r="AT185" i="11"/>
  <c r="AS76" i="11"/>
  <c r="AS185" i="11"/>
  <c r="AR76" i="11"/>
  <c r="AQ76" i="11"/>
  <c r="AP76" i="11"/>
  <c r="AO76" i="11"/>
  <c r="AN76" i="11"/>
  <c r="AM76" i="11"/>
  <c r="AL76" i="11"/>
  <c r="AK76" i="11"/>
  <c r="AJ76" i="11"/>
  <c r="AI76" i="11"/>
  <c r="AH76" i="11"/>
  <c r="AH185" i="11"/>
  <c r="AG76" i="11"/>
  <c r="AF76" i="11"/>
  <c r="AE76" i="11"/>
  <c r="AD76" i="11"/>
  <c r="AC76" i="11"/>
  <c r="AC185" i="11"/>
  <c r="AB76" i="11"/>
  <c r="AA76" i="11"/>
  <c r="Z76" i="11"/>
  <c r="Y76" i="11"/>
  <c r="X76" i="11"/>
  <c r="W76" i="11"/>
  <c r="V76" i="11"/>
  <c r="V185" i="11"/>
  <c r="U76" i="11"/>
  <c r="T76" i="11"/>
  <c r="S76" i="11"/>
  <c r="R76" i="11"/>
  <c r="Q76" i="11"/>
  <c r="Q185" i="11"/>
  <c r="P76" i="11"/>
  <c r="O76" i="11"/>
  <c r="O185" i="11"/>
  <c r="N76" i="11"/>
  <c r="N185" i="11"/>
  <c r="M76" i="11"/>
  <c r="L76" i="11"/>
  <c r="K76" i="11"/>
  <c r="K185" i="11"/>
  <c r="J76" i="11"/>
  <c r="J185" i="11"/>
  <c r="I76" i="11"/>
  <c r="H76" i="11"/>
  <c r="A76" i="11"/>
  <c r="A185" i="11"/>
  <c r="BO75" i="11"/>
  <c r="BN75" i="11"/>
  <c r="BM75" i="11"/>
  <c r="BL75" i="11"/>
  <c r="BK75" i="11"/>
  <c r="BK184" i="11"/>
  <c r="BJ75" i="11"/>
  <c r="BI75" i="11"/>
  <c r="BH75" i="11"/>
  <c r="BG75" i="11"/>
  <c r="BF75" i="11"/>
  <c r="BE75" i="11"/>
  <c r="BD75" i="11"/>
  <c r="BC75" i="11"/>
  <c r="BB75" i="11"/>
  <c r="BA75" i="11"/>
  <c r="AZ75" i="11"/>
  <c r="AZ184" i="11"/>
  <c r="AY75" i="11"/>
  <c r="AY184" i="11"/>
  <c r="AX75" i="11"/>
  <c r="AW75" i="11"/>
  <c r="AV75" i="11"/>
  <c r="AV184" i="11"/>
  <c r="AU75" i="11"/>
  <c r="AT75" i="11"/>
  <c r="AT184" i="11"/>
  <c r="AS75" i="11"/>
  <c r="AR75" i="11"/>
  <c r="AR184" i="11"/>
  <c r="AQ75" i="11"/>
  <c r="AP75" i="11"/>
  <c r="AO75" i="11"/>
  <c r="AN75" i="11"/>
  <c r="AM75" i="11"/>
  <c r="AM184" i="11"/>
  <c r="AL75" i="11"/>
  <c r="AK75" i="11"/>
  <c r="AJ75" i="11"/>
  <c r="AJ184" i="11"/>
  <c r="AI75" i="11"/>
  <c r="AH75" i="11"/>
  <c r="AG75" i="11"/>
  <c r="AF75" i="11"/>
  <c r="AF184" i="11"/>
  <c r="AE75" i="11"/>
  <c r="AD75" i="11"/>
  <c r="AC75" i="11"/>
  <c r="AB75" i="11"/>
  <c r="AA75" i="11"/>
  <c r="AA184" i="11"/>
  <c r="Z75" i="11"/>
  <c r="Y75" i="11"/>
  <c r="X75" i="11"/>
  <c r="X184" i="11"/>
  <c r="W75" i="11"/>
  <c r="W184" i="11"/>
  <c r="V75" i="11"/>
  <c r="U75" i="11"/>
  <c r="T75" i="11"/>
  <c r="S75" i="11"/>
  <c r="R75" i="11"/>
  <c r="Q75" i="11"/>
  <c r="P75" i="11"/>
  <c r="P184" i="11"/>
  <c r="O75" i="11"/>
  <c r="O184" i="11"/>
  <c r="N75" i="11"/>
  <c r="M75" i="11"/>
  <c r="L75" i="11"/>
  <c r="L184" i="11"/>
  <c r="K75" i="11"/>
  <c r="K184" i="11"/>
  <c r="J75" i="11"/>
  <c r="J184" i="11"/>
  <c r="I75" i="11"/>
  <c r="H75" i="11"/>
  <c r="H184" i="11"/>
  <c r="A75" i="11"/>
  <c r="A184" i="11"/>
  <c r="G72" i="11"/>
  <c r="F72" i="11"/>
  <c r="E72" i="11"/>
  <c r="D72" i="11"/>
  <c r="BO71" i="11"/>
  <c r="BO181" i="11"/>
  <c r="BN71" i="11"/>
  <c r="BM71" i="11"/>
  <c r="BM181" i="11"/>
  <c r="BL71" i="11"/>
  <c r="BL181" i="11"/>
  <c r="BK71" i="11"/>
  <c r="BJ71" i="11"/>
  <c r="BI71" i="11"/>
  <c r="BH71" i="11"/>
  <c r="BG71" i="11"/>
  <c r="BF71" i="11"/>
  <c r="BE71" i="11"/>
  <c r="BE181" i="11"/>
  <c r="BD71" i="11"/>
  <c r="BD181" i="11"/>
  <c r="BC71" i="11"/>
  <c r="BC181" i="11"/>
  <c r="BB71" i="11"/>
  <c r="BA71" i="11"/>
  <c r="BA181" i="11"/>
  <c r="AZ71" i="11"/>
  <c r="AZ181" i="11"/>
  <c r="AY71" i="11"/>
  <c r="AX71" i="11"/>
  <c r="AW71" i="11"/>
  <c r="AV71" i="11"/>
  <c r="AU71" i="11"/>
  <c r="AU181" i="11"/>
  <c r="AT71" i="11"/>
  <c r="AS71" i="11"/>
  <c r="AS181" i="11"/>
  <c r="AR71" i="11"/>
  <c r="AR181" i="11"/>
  <c r="AQ71" i="11"/>
  <c r="AP71" i="11"/>
  <c r="AO71" i="11"/>
  <c r="AO181" i="11"/>
  <c r="AN71" i="11"/>
  <c r="AM71" i="11"/>
  <c r="AL71" i="11"/>
  <c r="AK71" i="11"/>
  <c r="AJ71" i="11"/>
  <c r="AI71" i="11"/>
  <c r="AI181" i="11"/>
  <c r="AH71" i="11"/>
  <c r="AG71" i="11"/>
  <c r="AG181" i="11"/>
  <c r="AF71" i="11"/>
  <c r="AF181" i="11"/>
  <c r="AE71" i="11"/>
  <c r="AE181" i="11"/>
  <c r="AD71" i="11"/>
  <c r="AC71" i="11"/>
  <c r="AB71" i="11"/>
  <c r="AA71" i="11"/>
  <c r="Z71" i="11"/>
  <c r="Y71" i="11"/>
  <c r="X71" i="11"/>
  <c r="W71" i="11"/>
  <c r="V71" i="11"/>
  <c r="U71" i="11"/>
  <c r="U181" i="11"/>
  <c r="T71" i="11"/>
  <c r="T181" i="11"/>
  <c r="S71" i="11"/>
  <c r="S181" i="11"/>
  <c r="R71" i="11"/>
  <c r="Q71" i="11"/>
  <c r="Q181" i="11"/>
  <c r="P71" i="11"/>
  <c r="P181" i="11"/>
  <c r="O71" i="11"/>
  <c r="N71" i="11"/>
  <c r="M71" i="11"/>
  <c r="L71" i="11"/>
  <c r="K71" i="11"/>
  <c r="K181" i="11"/>
  <c r="J71" i="11"/>
  <c r="I71" i="11"/>
  <c r="I181" i="11"/>
  <c r="H71" i="11"/>
  <c r="H181" i="11"/>
  <c r="B71" i="11"/>
  <c r="A71" i="11"/>
  <c r="A181" i="11"/>
  <c r="BO70" i="11"/>
  <c r="BO211" i="11"/>
  <c r="BN70" i="11"/>
  <c r="BN211" i="11"/>
  <c r="BM70" i="11"/>
  <c r="BL70" i="11"/>
  <c r="BK70" i="11"/>
  <c r="BJ70" i="11"/>
  <c r="BI70" i="11"/>
  <c r="BI211" i="11"/>
  <c r="BH70" i="11"/>
  <c r="BG70" i="11"/>
  <c r="BF70" i="11"/>
  <c r="BF211" i="11"/>
  <c r="BE70" i="11"/>
  <c r="BE211" i="11"/>
  <c r="BD70" i="11"/>
  <c r="BC70" i="11"/>
  <c r="BB70" i="11"/>
  <c r="BA70" i="11"/>
  <c r="AZ70" i="11"/>
  <c r="AY70" i="11"/>
  <c r="AX70" i="11"/>
  <c r="AW70" i="11"/>
  <c r="AW211" i="11"/>
  <c r="AV70" i="11"/>
  <c r="AU70" i="11"/>
  <c r="AT70" i="11"/>
  <c r="AS70" i="11"/>
  <c r="AS211" i="11"/>
  <c r="AR70" i="11"/>
  <c r="AQ70" i="11"/>
  <c r="AQ211" i="11"/>
  <c r="AP70" i="11"/>
  <c r="AP211" i="11"/>
  <c r="AO70" i="11"/>
  <c r="AN70" i="11"/>
  <c r="AM70" i="11"/>
  <c r="AL70" i="11"/>
  <c r="AK70" i="11"/>
  <c r="AK211" i="11"/>
  <c r="AJ70" i="11"/>
  <c r="AI70" i="11"/>
  <c r="AH70" i="11"/>
  <c r="AG70" i="11"/>
  <c r="AG211" i="11"/>
  <c r="AF70" i="11"/>
  <c r="AE70" i="11"/>
  <c r="AE211" i="11"/>
  <c r="AD70" i="11"/>
  <c r="AD211" i="11"/>
  <c r="AC70" i="11"/>
  <c r="AB70" i="11"/>
  <c r="AA70" i="11"/>
  <c r="Z70" i="11"/>
  <c r="Y70" i="11"/>
  <c r="Y211" i="11"/>
  <c r="X70" i="11"/>
  <c r="W70" i="11"/>
  <c r="V70" i="11"/>
  <c r="U70" i="11"/>
  <c r="U211" i="11"/>
  <c r="T70" i="11"/>
  <c r="S70" i="11"/>
  <c r="S211" i="11"/>
  <c r="R70" i="11"/>
  <c r="R211" i="11"/>
  <c r="Q70" i="11"/>
  <c r="P70" i="11"/>
  <c r="O70" i="11"/>
  <c r="N70" i="11"/>
  <c r="M70" i="11"/>
  <c r="M211" i="11"/>
  <c r="L70" i="11"/>
  <c r="K70" i="11"/>
  <c r="J70" i="11"/>
  <c r="I70" i="11"/>
  <c r="I211" i="11"/>
  <c r="H70" i="11"/>
  <c r="A70" i="11"/>
  <c r="A211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A69" i="11"/>
  <c r="BO68" i="11"/>
  <c r="BN68" i="11"/>
  <c r="BM68" i="11"/>
  <c r="BL68" i="11"/>
  <c r="BK68" i="11"/>
  <c r="BK209" i="11"/>
  <c r="BJ68" i="11"/>
  <c r="BI68" i="11"/>
  <c r="BH68" i="11"/>
  <c r="BG68" i="11"/>
  <c r="BG209" i="11"/>
  <c r="BF68" i="11"/>
  <c r="BE68" i="11"/>
  <c r="BE209" i="11"/>
  <c r="BD68" i="11"/>
  <c r="BD209" i="11"/>
  <c r="BC68" i="11"/>
  <c r="BB68" i="11"/>
  <c r="BA68" i="11"/>
  <c r="AZ68" i="11"/>
  <c r="AY68" i="11"/>
  <c r="AY209" i="11"/>
  <c r="AX68" i="11"/>
  <c r="AW68" i="11"/>
  <c r="AW209" i="11"/>
  <c r="AV68" i="11"/>
  <c r="AU68" i="11"/>
  <c r="AU209" i="11"/>
  <c r="AT68" i="11"/>
  <c r="AS68" i="11"/>
  <c r="AS209" i="11"/>
  <c r="AR68" i="11"/>
  <c r="AR209" i="11"/>
  <c r="AQ68" i="11"/>
  <c r="AP68" i="11"/>
  <c r="AO68" i="11"/>
  <c r="AN68" i="11"/>
  <c r="AM68" i="11"/>
  <c r="AM209" i="11"/>
  <c r="AL68" i="11"/>
  <c r="AK68" i="11"/>
  <c r="AK209" i="11"/>
  <c r="AJ68" i="11"/>
  <c r="AI68" i="11"/>
  <c r="AH68" i="11"/>
  <c r="AG68" i="11"/>
  <c r="AG209" i="11"/>
  <c r="AF68" i="11"/>
  <c r="AF209" i="11"/>
  <c r="AE68" i="11"/>
  <c r="AD68" i="11"/>
  <c r="AC68" i="11"/>
  <c r="AB68" i="11"/>
  <c r="AA68" i="11"/>
  <c r="AA209" i="11"/>
  <c r="Z68" i="11"/>
  <c r="Y68" i="11"/>
  <c r="Y209" i="11"/>
  <c r="X68" i="11"/>
  <c r="W68" i="11"/>
  <c r="W209" i="11"/>
  <c r="V68" i="11"/>
  <c r="U68" i="11"/>
  <c r="U209" i="11"/>
  <c r="T68" i="11"/>
  <c r="T209" i="11"/>
  <c r="S68" i="11"/>
  <c r="R68" i="11"/>
  <c r="Q68" i="11"/>
  <c r="P68" i="11"/>
  <c r="O68" i="11"/>
  <c r="O209" i="11"/>
  <c r="N68" i="11"/>
  <c r="M68" i="11"/>
  <c r="M209" i="11"/>
  <c r="L68" i="11"/>
  <c r="K68" i="11"/>
  <c r="K209" i="11"/>
  <c r="J68" i="11"/>
  <c r="I68" i="11"/>
  <c r="I209" i="11"/>
  <c r="H68" i="11"/>
  <c r="H209" i="11"/>
  <c r="A68" i="11"/>
  <c r="A209" i="11"/>
  <c r="BO67" i="11"/>
  <c r="BN67" i="11"/>
  <c r="BM67" i="11"/>
  <c r="BM208" i="11"/>
  <c r="BL67" i="11"/>
  <c r="BL208" i="11"/>
  <c r="BK67" i="11"/>
  <c r="BJ67" i="11"/>
  <c r="BJ208" i="11"/>
  <c r="BI67" i="11"/>
  <c r="BH67" i="11"/>
  <c r="BG67" i="11"/>
  <c r="BF67" i="11"/>
  <c r="BE67" i="11"/>
  <c r="BE208" i="11"/>
  <c r="BD67" i="11"/>
  <c r="BC67" i="11"/>
  <c r="BB67" i="11"/>
  <c r="BA67" i="11"/>
  <c r="BA208" i="11"/>
  <c r="AZ67" i="11"/>
  <c r="AZ208" i="11"/>
  <c r="AY67" i="11"/>
  <c r="AX67" i="11"/>
  <c r="AX208" i="11"/>
  <c r="AW67" i="11"/>
  <c r="AV67" i="11"/>
  <c r="AU67" i="11"/>
  <c r="AT67" i="11"/>
  <c r="AS67" i="11"/>
  <c r="AS208" i="11"/>
  <c r="AR67" i="11"/>
  <c r="AQ67" i="11"/>
  <c r="AP67" i="11"/>
  <c r="AO67" i="11"/>
  <c r="AO208" i="11"/>
  <c r="AN67" i="11"/>
  <c r="AN208" i="11"/>
  <c r="AM67" i="11"/>
  <c r="AL67" i="11"/>
  <c r="AL208" i="11"/>
  <c r="AK67" i="11"/>
  <c r="AJ67" i="11"/>
  <c r="AI67" i="11"/>
  <c r="AH67" i="11"/>
  <c r="AG67" i="11"/>
  <c r="AG208" i="11"/>
  <c r="AF67" i="11"/>
  <c r="AE67" i="11"/>
  <c r="AD67" i="11"/>
  <c r="AC67" i="11"/>
  <c r="AC208" i="11"/>
  <c r="AB67" i="11"/>
  <c r="AA67" i="11"/>
  <c r="Z67" i="11"/>
  <c r="Z208" i="11"/>
  <c r="Y67" i="11"/>
  <c r="X67" i="11"/>
  <c r="W67" i="11"/>
  <c r="V67" i="11"/>
  <c r="U67" i="11"/>
  <c r="T67" i="11"/>
  <c r="S67" i="11"/>
  <c r="R67" i="11"/>
  <c r="Q67" i="11"/>
  <c r="Q208" i="11"/>
  <c r="P67" i="11"/>
  <c r="P208" i="11"/>
  <c r="O67" i="11"/>
  <c r="N67" i="11"/>
  <c r="N208" i="11"/>
  <c r="M67" i="11"/>
  <c r="L67" i="11"/>
  <c r="K67" i="11"/>
  <c r="J67" i="11"/>
  <c r="I67" i="11"/>
  <c r="I208" i="11"/>
  <c r="H67" i="11"/>
  <c r="A67" i="11"/>
  <c r="A208" i="11"/>
  <c r="G64" i="11"/>
  <c r="F64" i="11"/>
  <c r="E64" i="11"/>
  <c r="D64" i="11"/>
  <c r="A63" i="11"/>
  <c r="A205" i="11"/>
  <c r="A62" i="11"/>
  <c r="A204" i="11"/>
  <c r="A61" i="11"/>
  <c r="A203" i="11"/>
  <c r="BO60" i="11"/>
  <c r="BN60" i="11"/>
  <c r="BM60" i="11"/>
  <c r="BM202" i="11"/>
  <c r="BL60" i="11"/>
  <c r="BK60" i="11"/>
  <c r="BJ60" i="11"/>
  <c r="BJ202" i="11"/>
  <c r="BI60" i="11"/>
  <c r="BH60" i="11"/>
  <c r="BG60" i="11"/>
  <c r="BF60" i="11"/>
  <c r="BE60" i="11"/>
  <c r="BD60" i="11"/>
  <c r="BC60" i="11"/>
  <c r="BB60" i="11"/>
  <c r="BA60" i="11"/>
  <c r="BA202" i="11"/>
  <c r="AZ60" i="11"/>
  <c r="AY60" i="11"/>
  <c r="AX60" i="11"/>
  <c r="AX202" i="11"/>
  <c r="AW60" i="11"/>
  <c r="AV60" i="11"/>
  <c r="AU60" i="11"/>
  <c r="AT60" i="11"/>
  <c r="AS60" i="11"/>
  <c r="AR60" i="11"/>
  <c r="AQ60" i="11"/>
  <c r="AP60" i="11"/>
  <c r="AO60" i="11"/>
  <c r="AO202" i="11"/>
  <c r="AN60" i="11"/>
  <c r="AM60" i="11"/>
  <c r="AL60" i="11"/>
  <c r="AL202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Z202" i="11"/>
  <c r="Y60" i="11"/>
  <c r="X60" i="11"/>
  <c r="W60" i="11"/>
  <c r="V60" i="11"/>
  <c r="U60" i="11"/>
  <c r="T60" i="11"/>
  <c r="S60" i="11"/>
  <c r="R60" i="11"/>
  <c r="Q60" i="11"/>
  <c r="Q202" i="11"/>
  <c r="P60" i="11"/>
  <c r="O60" i="11"/>
  <c r="N60" i="11"/>
  <c r="N202" i="11"/>
  <c r="M60" i="11"/>
  <c r="L60" i="11"/>
  <c r="K60" i="11"/>
  <c r="J60" i="11"/>
  <c r="I60" i="11"/>
  <c r="H60" i="11"/>
  <c r="A60" i="11"/>
  <c r="A202" i="11"/>
  <c r="G32" i="11"/>
  <c r="F32" i="11"/>
  <c r="E32" i="11"/>
  <c r="D32" i="11"/>
  <c r="D36" i="11"/>
  <c r="D43" i="11"/>
  <c r="D49" i="11"/>
  <c r="G15" i="11"/>
  <c r="F15" i="11"/>
  <c r="E15" i="11"/>
  <c r="D15" i="11"/>
  <c r="D10" i="11"/>
  <c r="I9" i="11"/>
  <c r="G9" i="11"/>
  <c r="F9" i="11"/>
  <c r="E9" i="11"/>
  <c r="E10" i="11"/>
  <c r="D9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BO7" i="11"/>
  <c r="BO20" i="11"/>
  <c r="BN7" i="11"/>
  <c r="BN20" i="11"/>
  <c r="BM7" i="11"/>
  <c r="BL7" i="11"/>
  <c r="BL20" i="11"/>
  <c r="BK7" i="11"/>
  <c r="BK9" i="11"/>
  <c r="BJ7" i="11"/>
  <c r="BJ20" i="11"/>
  <c r="BI7" i="11"/>
  <c r="BI9" i="11"/>
  <c r="BH7" i="11"/>
  <c r="BH9" i="11"/>
  <c r="BG7" i="11"/>
  <c r="BF7" i="11"/>
  <c r="BF20" i="11"/>
  <c r="BE7" i="11"/>
  <c r="BE20" i="11"/>
  <c r="BD7" i="11"/>
  <c r="BD20" i="11"/>
  <c r="BC7" i="11"/>
  <c r="BC20" i="11"/>
  <c r="BB7" i="11"/>
  <c r="BB20" i="11"/>
  <c r="BA7" i="11"/>
  <c r="BA9" i="11"/>
  <c r="AZ7" i="11"/>
  <c r="AZ20" i="11"/>
  <c r="AY7" i="11"/>
  <c r="AY9" i="11"/>
  <c r="AX7" i="11"/>
  <c r="AX20" i="11"/>
  <c r="AW7" i="11"/>
  <c r="AV7" i="11"/>
  <c r="AV9" i="11"/>
  <c r="AU7" i="11"/>
  <c r="AT7" i="11"/>
  <c r="AT20" i="11"/>
  <c r="AS7" i="11"/>
  <c r="AS20" i="11"/>
  <c r="AR7" i="11"/>
  <c r="AR20" i="11"/>
  <c r="AQ7" i="11"/>
  <c r="AQ20" i="11"/>
  <c r="AP7" i="11"/>
  <c r="AP20" i="11"/>
  <c r="AO7" i="11"/>
  <c r="AN7" i="11"/>
  <c r="AN20" i="11"/>
  <c r="AM7" i="11"/>
  <c r="AM9" i="11"/>
  <c r="AL7" i="11"/>
  <c r="AL9" i="11"/>
  <c r="AK7" i="11"/>
  <c r="AJ7" i="11"/>
  <c r="AJ9" i="11"/>
  <c r="AI7" i="11"/>
  <c r="AH7" i="11"/>
  <c r="AH20" i="11"/>
  <c r="AG7" i="11"/>
  <c r="AG20" i="11"/>
  <c r="AF7" i="11"/>
  <c r="AF9" i="11"/>
  <c r="AE7" i="11"/>
  <c r="AE20" i="11"/>
  <c r="AD7" i="11"/>
  <c r="AD20" i="11"/>
  <c r="AC7" i="11"/>
  <c r="AB7" i="11"/>
  <c r="AB20" i="11"/>
  <c r="AA7" i="11"/>
  <c r="AA20" i="11"/>
  <c r="Z7" i="11"/>
  <c r="Z9" i="11"/>
  <c r="Y7" i="11"/>
  <c r="X7" i="11"/>
  <c r="W7" i="11"/>
  <c r="V7" i="11"/>
  <c r="V20" i="11"/>
  <c r="U7" i="11"/>
  <c r="U20" i="11"/>
  <c r="T7" i="11"/>
  <c r="T20" i="11"/>
  <c r="S7" i="11"/>
  <c r="S20" i="11"/>
  <c r="R7" i="11"/>
  <c r="R20" i="11"/>
  <c r="Q7" i="11"/>
  <c r="Q20" i="11"/>
  <c r="P7" i="11"/>
  <c r="P20" i="11"/>
  <c r="O7" i="11"/>
  <c r="O9" i="11"/>
  <c r="N7" i="11"/>
  <c r="N9" i="11"/>
  <c r="M7" i="11"/>
  <c r="M9" i="11"/>
  <c r="L7" i="11"/>
  <c r="K7" i="11"/>
  <c r="J7" i="11"/>
  <c r="J20" i="11"/>
  <c r="I7" i="11"/>
  <c r="I20" i="11"/>
  <c r="H7" i="11"/>
  <c r="H9" i="11"/>
  <c r="B26" i="10"/>
  <c r="B22" i="10"/>
  <c r="L19" i="10"/>
  <c r="L18" i="10"/>
  <c r="B18" i="10"/>
  <c r="L17" i="10"/>
  <c r="L16" i="10"/>
  <c r="B14" i="10"/>
  <c r="L13" i="10"/>
  <c r="L12" i="10"/>
  <c r="L11" i="10"/>
  <c r="L10" i="10"/>
  <c r="B10" i="10"/>
  <c r="L9" i="10"/>
  <c r="V109" i="11"/>
  <c r="H9" i="10"/>
  <c r="L6" i="10"/>
  <c r="L5" i="10"/>
  <c r="F5" i="10"/>
  <c r="H5" i="10"/>
  <c r="L4" i="10"/>
  <c r="F4" i="10"/>
  <c r="H4" i="10"/>
  <c r="L3" i="10"/>
  <c r="H3" i="10"/>
  <c r="O52" i="9"/>
  <c r="O49" i="9"/>
  <c r="O54" i="9"/>
  <c r="O47" i="9"/>
  <c r="P42" i="9"/>
  <c r="O41" i="9"/>
  <c r="P41" i="9"/>
  <c r="R23" i="9"/>
  <c r="R22" i="9"/>
  <c r="P15" i="9"/>
  <c r="Q14" i="9"/>
  <c r="R10" i="9"/>
  <c r="S10" i="9"/>
  <c r="R9" i="9"/>
  <c r="S9" i="9"/>
  <c r="S8" i="9"/>
  <c r="T8" i="9"/>
  <c r="AD4" i="9"/>
  <c r="AF4" i="9"/>
  <c r="AG3" i="9"/>
  <c r="AF3" i="9"/>
  <c r="G22" i="9"/>
  <c r="G7" i="9"/>
  <c r="G12" i="9"/>
  <c r="G17" i="9"/>
  <c r="F10" i="11"/>
  <c r="H28" i="11"/>
  <c r="H24" i="11"/>
  <c r="E206" i="11"/>
  <c r="K202" i="11"/>
  <c r="O202" i="11"/>
  <c r="W202" i="11"/>
  <c r="AA202" i="11"/>
  <c r="AI202" i="11"/>
  <c r="AM202" i="11"/>
  <c r="AU202" i="11"/>
  <c r="AY202" i="11"/>
  <c r="BG202" i="11"/>
  <c r="BK202" i="11"/>
  <c r="O208" i="11"/>
  <c r="S208" i="11"/>
  <c r="AA208" i="11"/>
  <c r="AE208" i="11"/>
  <c r="AM208" i="11"/>
  <c r="AQ208" i="11"/>
  <c r="AY208" i="11"/>
  <c r="BC208" i="11"/>
  <c r="BK208" i="11"/>
  <c r="BO208" i="11"/>
  <c r="N209" i="11"/>
  <c r="R209" i="11"/>
  <c r="AD209" i="11"/>
  <c r="AL209" i="11"/>
  <c r="AP209" i="11"/>
  <c r="AX209" i="11"/>
  <c r="BB209" i="11"/>
  <c r="BJ209" i="11"/>
  <c r="L211" i="11"/>
  <c r="P211" i="11"/>
  <c r="X211" i="11"/>
  <c r="AB211" i="11"/>
  <c r="AJ211" i="11"/>
  <c r="AN211" i="11"/>
  <c r="AV211" i="11"/>
  <c r="BH211" i="11"/>
  <c r="BL211" i="11"/>
  <c r="J181" i="11"/>
  <c r="N181" i="11"/>
  <c r="Z181" i="11"/>
  <c r="AT181" i="11"/>
  <c r="AX181" i="11"/>
  <c r="BJ181" i="11"/>
  <c r="H185" i="11"/>
  <c r="H188" i="11"/>
  <c r="AR185" i="11"/>
  <c r="S186" i="11"/>
  <c r="BC186" i="11"/>
  <c r="I192" i="11"/>
  <c r="AS192" i="11"/>
  <c r="F196" i="11"/>
  <c r="N196" i="11"/>
  <c r="R196" i="11"/>
  <c r="AD196" i="11"/>
  <c r="AP196" i="11"/>
  <c r="AX196" i="11"/>
  <c r="BJ196" i="11"/>
  <c r="M147" i="11"/>
  <c r="G182" i="11"/>
  <c r="K140" i="11"/>
  <c r="F175" i="11"/>
  <c r="K173" i="11"/>
  <c r="L202" i="11"/>
  <c r="AJ202" i="11"/>
  <c r="AV202" i="11"/>
  <c r="BH202" i="11"/>
  <c r="AX9" i="11"/>
  <c r="S192" i="11"/>
  <c r="AQ192" i="11"/>
  <c r="BC192" i="11"/>
  <c r="BO192" i="11"/>
  <c r="S147" i="11"/>
  <c r="BH173" i="11"/>
  <c r="G188" i="11"/>
  <c r="U185" i="11"/>
  <c r="T186" i="11"/>
  <c r="AE187" i="11"/>
  <c r="N20" i="11"/>
  <c r="AK202" i="11"/>
  <c r="AW202" i="11"/>
  <c r="BI202" i="11"/>
  <c r="P209" i="11"/>
  <c r="AB209" i="11"/>
  <c r="AN209" i="11"/>
  <c r="AZ209" i="11"/>
  <c r="BL209" i="11"/>
  <c r="N211" i="11"/>
  <c r="Z211" i="11"/>
  <c r="AL211" i="11"/>
  <c r="BJ211" i="11"/>
  <c r="L181" i="11"/>
  <c r="X181" i="11"/>
  <c r="AV181" i="11"/>
  <c r="BH181" i="11"/>
  <c r="P185" i="11"/>
  <c r="AZ185" i="11"/>
  <c r="BL185" i="11"/>
  <c r="O186" i="11"/>
  <c r="AA186" i="11"/>
  <c r="BK186" i="11"/>
  <c r="N187" i="11"/>
  <c r="Z187" i="11"/>
  <c r="AX187" i="11"/>
  <c r="T219" i="11"/>
  <c r="AF219" i="11"/>
  <c r="BD219" i="11"/>
  <c r="D196" i="11"/>
  <c r="P196" i="11"/>
  <c r="N140" i="11"/>
  <c r="I173" i="11"/>
  <c r="BK196" i="11"/>
  <c r="N147" i="11"/>
  <c r="AF20" i="11"/>
  <c r="R208" i="11"/>
  <c r="AD208" i="11"/>
  <c r="AP208" i="11"/>
  <c r="BB208" i="11"/>
  <c r="BN208" i="11"/>
  <c r="Q209" i="11"/>
  <c r="AC209" i="11"/>
  <c r="AO209" i="11"/>
  <c r="BA209" i="11"/>
  <c r="BM209" i="11"/>
  <c r="O211" i="11"/>
  <c r="AA211" i="11"/>
  <c r="AM211" i="11"/>
  <c r="AY211" i="11"/>
  <c r="BK211" i="11"/>
  <c r="M181" i="11"/>
  <c r="Y181" i="11"/>
  <c r="AW181" i="11"/>
  <c r="BI181" i="11"/>
  <c r="B75" i="11"/>
  <c r="J192" i="11"/>
  <c r="B89" i="11"/>
  <c r="O140" i="11"/>
  <c r="R185" i="11"/>
  <c r="AP185" i="11"/>
  <c r="BB185" i="11"/>
  <c r="Q186" i="11"/>
  <c r="AO186" i="11"/>
  <c r="BM186" i="11"/>
  <c r="P187" i="11"/>
  <c r="AN187" i="11"/>
  <c r="P140" i="11"/>
  <c r="AN140" i="11"/>
  <c r="Q147" i="11"/>
  <c r="BM147" i="11"/>
  <c r="P202" i="11"/>
  <c r="AB202" i="11"/>
  <c r="AN202" i="11"/>
  <c r="AZ202" i="11"/>
  <c r="T208" i="11"/>
  <c r="AF208" i="11"/>
  <c r="AR208" i="11"/>
  <c r="S209" i="11"/>
  <c r="AQ209" i="11"/>
  <c r="BC209" i="11"/>
  <c r="Q211" i="11"/>
  <c r="AC211" i="11"/>
  <c r="AO211" i="11"/>
  <c r="BA211" i="11"/>
  <c r="BM211" i="11"/>
  <c r="O181" i="11"/>
  <c r="AA181" i="11"/>
  <c r="AM181" i="11"/>
  <c r="AY181" i="11"/>
  <c r="B76" i="11"/>
  <c r="S185" i="11"/>
  <c r="AE185" i="11"/>
  <c r="AQ185" i="11"/>
  <c r="BC185" i="11"/>
  <c r="BO185" i="11"/>
  <c r="R186" i="11"/>
  <c r="AD186" i="11"/>
  <c r="AP186" i="11"/>
  <c r="BB186" i="11"/>
  <c r="Q187" i="11"/>
  <c r="AC187" i="11"/>
  <c r="AO187" i="11"/>
  <c r="BA187" i="11"/>
  <c r="Q140" i="11"/>
  <c r="I185" i="11"/>
  <c r="J84" i="11"/>
  <c r="BL9" i="11"/>
  <c r="K208" i="11"/>
  <c r="W208" i="11"/>
  <c r="AI208" i="11"/>
  <c r="AU208" i="11"/>
  <c r="BG208" i="11"/>
  <c r="J209" i="11"/>
  <c r="AH209" i="11"/>
  <c r="AT209" i="11"/>
  <c r="BF209" i="11"/>
  <c r="H211" i="11"/>
  <c r="T211" i="11"/>
  <c r="AF211" i="11"/>
  <c r="AR211" i="11"/>
  <c r="BD211" i="11"/>
  <c r="R181" i="11"/>
  <c r="AD181" i="11"/>
  <c r="BB181" i="11"/>
  <c r="I147" i="11"/>
  <c r="AS147" i="11"/>
  <c r="BC9" i="11"/>
  <c r="I202" i="11"/>
  <c r="U202" i="11"/>
  <c r="AS202" i="11"/>
  <c r="BE202" i="11"/>
  <c r="M208" i="11"/>
  <c r="Y208" i="11"/>
  <c r="AW208" i="11"/>
  <c r="BI208" i="11"/>
  <c r="L209" i="11"/>
  <c r="X209" i="11"/>
  <c r="AJ209" i="11"/>
  <c r="AV209" i="11"/>
  <c r="BH209" i="11"/>
  <c r="J211" i="11"/>
  <c r="V211" i="11"/>
  <c r="AH211" i="11"/>
  <c r="AT211" i="11"/>
  <c r="L185" i="11"/>
  <c r="AJ185" i="11"/>
  <c r="AV185" i="11"/>
  <c r="K186" i="11"/>
  <c r="AI186" i="11"/>
  <c r="AU186" i="11"/>
  <c r="J187" i="11"/>
  <c r="J188" i="11"/>
  <c r="AH187" i="11"/>
  <c r="AT187" i="11"/>
  <c r="K147" i="11"/>
  <c r="AI147" i="11"/>
  <c r="BG147" i="11"/>
  <c r="S173" i="11"/>
  <c r="BO173" i="11"/>
  <c r="J202" i="11"/>
  <c r="V202" i="11"/>
  <c r="AH202" i="11"/>
  <c r="AT202" i="11"/>
  <c r="BF202" i="11"/>
  <c r="K211" i="11"/>
  <c r="W211" i="11"/>
  <c r="AI211" i="11"/>
  <c r="AU211" i="11"/>
  <c r="BG211" i="11"/>
  <c r="M185" i="11"/>
  <c r="Y185" i="11"/>
  <c r="AK185" i="11"/>
  <c r="AW185" i="11"/>
  <c r="BI185" i="11"/>
  <c r="L186" i="11"/>
  <c r="X186" i="11"/>
  <c r="AJ186" i="11"/>
  <c r="BH186" i="11"/>
  <c r="W187" i="11"/>
  <c r="AI187" i="11"/>
  <c r="BG187" i="11"/>
  <c r="R192" i="11"/>
  <c r="AD192" i="11"/>
  <c r="BN192" i="11"/>
  <c r="L147" i="11"/>
  <c r="T9" i="11"/>
  <c r="BD9" i="11"/>
  <c r="AL20" i="11"/>
  <c r="S84" i="11"/>
  <c r="L219" i="11"/>
  <c r="X219" i="11"/>
  <c r="AV219" i="11"/>
  <c r="Y140" i="11"/>
  <c r="AB9" i="11"/>
  <c r="AM20" i="11"/>
  <c r="AE84" i="11"/>
  <c r="AC140" i="11"/>
  <c r="AD9" i="11"/>
  <c r="BN9" i="11"/>
  <c r="K72" i="11"/>
  <c r="H79" i="11"/>
  <c r="AE9" i="11"/>
  <c r="BO9" i="11"/>
  <c r="H72" i="11"/>
  <c r="AE72" i="11"/>
  <c r="B68" i="11"/>
  <c r="AG9" i="11"/>
  <c r="AN9" i="11"/>
  <c r="M196" i="11"/>
  <c r="Y196" i="11"/>
  <c r="J166" i="11"/>
  <c r="I166" i="11"/>
  <c r="H20" i="11"/>
  <c r="AQ9" i="11"/>
  <c r="B70" i="11"/>
  <c r="G219" i="11"/>
  <c r="S219" i="11"/>
  <c r="BC219" i="11"/>
  <c r="B93" i="11"/>
  <c r="H147" i="11"/>
  <c r="AR147" i="11"/>
  <c r="K166" i="11"/>
  <c r="AU166" i="11"/>
  <c r="L173" i="11"/>
  <c r="AV173" i="11"/>
  <c r="AR9" i="11"/>
  <c r="R187" i="11"/>
  <c r="BB187" i="11"/>
  <c r="B91" i="11"/>
  <c r="O196" i="11"/>
  <c r="AM196" i="11"/>
  <c r="W173" i="11"/>
  <c r="P9" i="11"/>
  <c r="AZ9" i="11"/>
  <c r="Z20" i="11"/>
  <c r="I84" i="11"/>
  <c r="M166" i="11"/>
  <c r="S9" i="11"/>
  <c r="K219" i="11"/>
  <c r="AI219" i="11"/>
  <c r="AU219" i="11"/>
  <c r="M140" i="11"/>
  <c r="E36" i="11"/>
  <c r="E43" i="11"/>
  <c r="E49" i="11"/>
  <c r="BO209" i="11"/>
  <c r="BI209" i="11"/>
  <c r="BG219" i="11"/>
  <c r="BH219" i="11"/>
  <c r="BL202" i="11"/>
  <c r="BD208" i="11"/>
  <c r="BN209" i="11"/>
  <c r="BO219" i="11"/>
  <c r="BG166" i="11"/>
  <c r="BK140" i="11"/>
  <c r="AT166" i="11"/>
  <c r="AR219" i="11"/>
  <c r="AU72" i="11"/>
  <c r="AQ219" i="11"/>
  <c r="AG202" i="11"/>
  <c r="AK208" i="11"/>
  <c r="AI209" i="11"/>
  <c r="AJ219" i="11"/>
  <c r="AK140" i="11"/>
  <c r="AC202" i="11"/>
  <c r="U208" i="11"/>
  <c r="AE209" i="11"/>
  <c r="V209" i="11"/>
  <c r="AE219" i="11"/>
  <c r="U166" i="11"/>
  <c r="X202" i="11"/>
  <c r="AB208" i="11"/>
  <c r="Z209" i="11"/>
  <c r="W219" i="11"/>
  <c r="AA140" i="11"/>
  <c r="BD192" i="11"/>
  <c r="BD184" i="11"/>
  <c r="BN185" i="11"/>
  <c r="BL187" i="11"/>
  <c r="BI196" i="11"/>
  <c r="BG72" i="11"/>
  <c r="BD187" i="11"/>
  <c r="BH185" i="11"/>
  <c r="BL140" i="11"/>
  <c r="AU147" i="11"/>
  <c r="BB192" i="11"/>
  <c r="BC84" i="11"/>
  <c r="AW187" i="11"/>
  <c r="BC173" i="11"/>
  <c r="AZ211" i="11"/>
  <c r="AY186" i="11"/>
  <c r="AN181" i="11"/>
  <c r="AO185" i="11"/>
  <c r="AN186" i="11"/>
  <c r="AM187" i="11"/>
  <c r="AH184" i="11"/>
  <c r="AF185" i="11"/>
  <c r="AF188" i="11"/>
  <c r="AQ186" i="11"/>
  <c r="AP187" i="11"/>
  <c r="AH181" i="11"/>
  <c r="AK181" i="11"/>
  <c r="AN184" i="11"/>
  <c r="AL185" i="11"/>
  <c r="AK186" i="11"/>
  <c r="AJ187" i="11"/>
  <c r="AJ188" i="11"/>
  <c r="AP192" i="11"/>
  <c r="AI72" i="11"/>
  <c r="AB181" i="11"/>
  <c r="AB186" i="11"/>
  <c r="AA187" i="11"/>
  <c r="U192" i="11"/>
  <c r="W72" i="11"/>
  <c r="X173" i="11"/>
  <c r="V181" i="11"/>
  <c r="W185" i="11"/>
  <c r="V186" i="11"/>
  <c r="U187" i="11"/>
  <c r="AA185" i="11"/>
  <c r="Z186" i="11"/>
  <c r="AC147" i="11"/>
  <c r="AE173" i="11"/>
  <c r="BM185" i="11"/>
  <c r="BL186" i="11"/>
  <c r="BE192" i="11"/>
  <c r="BN181" i="11"/>
  <c r="BN186" i="11"/>
  <c r="BM187" i="11"/>
  <c r="BE147" i="11"/>
  <c r="BO147" i="11"/>
  <c r="BF166" i="11"/>
  <c r="BE166" i="11"/>
  <c r="BG173" i="11"/>
  <c r="BL196" i="11"/>
  <c r="BG140" i="11"/>
  <c r="BF181" i="11"/>
  <c r="BG185" i="11"/>
  <c r="BE187" i="11"/>
  <c r="BG181" i="11"/>
  <c r="BG186" i="11"/>
  <c r="BF187" i="11"/>
  <c r="BK181" i="11"/>
  <c r="BJ187" i="11"/>
  <c r="BB211" i="11"/>
  <c r="AY187" i="11"/>
  <c r="BC211" i="11"/>
  <c r="BC212" i="11"/>
  <c r="BA186" i="11"/>
  <c r="AZ187" i="11"/>
  <c r="AT192" i="11"/>
  <c r="AY196" i="11"/>
  <c r="AZ196" i="11"/>
  <c r="AU140" i="11"/>
  <c r="AV147" i="11"/>
  <c r="AT186" i="11"/>
  <c r="BA196" i="11"/>
  <c r="AX140" i="11"/>
  <c r="AX211" i="11"/>
  <c r="AV186" i="11"/>
  <c r="AV188" i="11"/>
  <c r="AU187" i="11"/>
  <c r="AX147" i="11"/>
  <c r="AG72" i="11"/>
  <c r="AH192" i="11"/>
  <c r="AQ147" i="11"/>
  <c r="AG147" i="11"/>
  <c r="AH166" i="11"/>
  <c r="AG166" i="11"/>
  <c r="AI173" i="11"/>
  <c r="AL196" i="11"/>
  <c r="AI166" i="11"/>
  <c r="AJ147" i="11"/>
  <c r="AO196" i="11"/>
  <c r="AM140" i="11"/>
  <c r="AL147" i="11"/>
  <c r="AQ84" i="11"/>
  <c r="AF192" i="11"/>
  <c r="AM173" i="11"/>
  <c r="AF173" i="11"/>
  <c r="AP173" i="11"/>
  <c r="AC181" i="11"/>
  <c r="T184" i="11"/>
  <c r="AD185" i="11"/>
  <c r="AC186" i="11"/>
  <c r="AB187" i="11"/>
  <c r="W147" i="11"/>
  <c r="V166" i="11"/>
  <c r="W181" i="11"/>
  <c r="X185" i="11"/>
  <c r="W186" i="11"/>
  <c r="V187" i="11"/>
  <c r="AC196" i="11"/>
  <c r="Z140" i="11"/>
  <c r="Y166" i="11"/>
  <c r="W166" i="11"/>
  <c r="T173" i="11"/>
  <c r="AD173" i="11"/>
  <c r="AB173" i="11"/>
  <c r="Z173" i="11"/>
  <c r="BL184" i="11"/>
  <c r="BL188" i="11"/>
  <c r="BJ185" i="11"/>
  <c r="BI186" i="11"/>
  <c r="BH187" i="11"/>
  <c r="BE173" i="11"/>
  <c r="BO72" i="11"/>
  <c r="BD79" i="11"/>
  <c r="BD140" i="11"/>
  <c r="BF79" i="11"/>
  <c r="BD147" i="11"/>
  <c r="BD84" i="11"/>
  <c r="BE84" i="11"/>
  <c r="BM196" i="11"/>
  <c r="BJ140" i="11"/>
  <c r="BH147" i="11"/>
  <c r="BF184" i="11"/>
  <c r="BF188" i="11"/>
  <c r="BD185" i="11"/>
  <c r="BO186" i="11"/>
  <c r="BN187" i="11"/>
  <c r="BF192" i="11"/>
  <c r="BF84" i="11"/>
  <c r="BN196" i="11"/>
  <c r="BI140" i="11"/>
  <c r="BI147" i="11"/>
  <c r="BI166" i="11"/>
  <c r="BN84" i="11"/>
  <c r="BJ147" i="11"/>
  <c r="BO84" i="11"/>
  <c r="BM140" i="11"/>
  <c r="BD173" i="11"/>
  <c r="BN173" i="11"/>
  <c r="AR192" i="11"/>
  <c r="AS84" i="11"/>
  <c r="AW196" i="11"/>
  <c r="AR140" i="11"/>
  <c r="AS173" i="11"/>
  <c r="AT84" i="11"/>
  <c r="AS166" i="11"/>
  <c r="AU173" i="11"/>
  <c r="BC147" i="11"/>
  <c r="BA147" i="11"/>
  <c r="BB196" i="11"/>
  <c r="AY140" i="11"/>
  <c r="AW140" i="11"/>
  <c r="AW147" i="11"/>
  <c r="AZ140" i="11"/>
  <c r="AW166" i="11"/>
  <c r="BA140" i="11"/>
  <c r="AR79" i="11"/>
  <c r="BA173" i="11"/>
  <c r="AR84" i="11"/>
  <c r="AR173" i="11"/>
  <c r="BB173" i="11"/>
  <c r="AZ173" i="11"/>
  <c r="AP181" i="11"/>
  <c r="AM185" i="11"/>
  <c r="AL186" i="11"/>
  <c r="AK187" i="11"/>
  <c r="AN79" i="11"/>
  <c r="AN196" i="11"/>
  <c r="AI140" i="11"/>
  <c r="AF147" i="11"/>
  <c r="AG173" i="11"/>
  <c r="AQ181" i="11"/>
  <c r="AP184" i="11"/>
  <c r="AN185" i="11"/>
  <c r="AM186" i="11"/>
  <c r="AL187" i="11"/>
  <c r="AL140" i="11"/>
  <c r="AF84" i="11"/>
  <c r="AK147" i="11"/>
  <c r="AJ173" i="11"/>
  <c r="AG84" i="11"/>
  <c r="AO140" i="11"/>
  <c r="AH84" i="11"/>
  <c r="AJ181" i="11"/>
  <c r="AG185" i="11"/>
  <c r="AF186" i="11"/>
  <c r="AQ187" i="11"/>
  <c r="AG192" i="11"/>
  <c r="AP84" i="11"/>
  <c r="AK166" i="11"/>
  <c r="AL181" i="11"/>
  <c r="AI185" i="11"/>
  <c r="AH186" i="11"/>
  <c r="AH188" i="11"/>
  <c r="AG187" i="11"/>
  <c r="AK196" i="11"/>
  <c r="AO147" i="11"/>
  <c r="AQ173" i="11"/>
  <c r="AN173" i="11"/>
  <c r="AL173" i="11"/>
  <c r="AB184" i="11"/>
  <c r="Z185" i="11"/>
  <c r="Y186" i="11"/>
  <c r="V79" i="11"/>
  <c r="T84" i="11"/>
  <c r="Z196" i="11"/>
  <c r="AA196" i="11"/>
  <c r="V184" i="11"/>
  <c r="V188" i="11"/>
  <c r="T185" i="11"/>
  <c r="AE186" i="11"/>
  <c r="AD187" i="11"/>
  <c r="AE192" i="11"/>
  <c r="V84" i="11"/>
  <c r="AB196" i="11"/>
  <c r="W140" i="11"/>
  <c r="U147" i="11"/>
  <c r="AE147" i="11"/>
  <c r="U84" i="11"/>
  <c r="T192" i="11"/>
  <c r="AD84" i="11"/>
  <c r="T147" i="11"/>
  <c r="V192" i="11"/>
  <c r="AB140" i="11"/>
  <c r="X147" i="11"/>
  <c r="Y147" i="11"/>
  <c r="U173" i="11"/>
  <c r="Z147" i="11"/>
  <c r="G19" i="9"/>
  <c r="G20" i="9"/>
  <c r="G24" i="9"/>
  <c r="G27" i="9"/>
  <c r="G28" i="9"/>
  <c r="AD5" i="9"/>
  <c r="AF5" i="9"/>
  <c r="AG5" i="9"/>
  <c r="AG6" i="9"/>
  <c r="AG4" i="9"/>
  <c r="F225" i="11"/>
  <c r="F87" i="11"/>
  <c r="F95" i="11"/>
  <c r="I28" i="11"/>
  <c r="I24" i="11"/>
  <c r="BE113" i="11"/>
  <c r="AS113" i="11"/>
  <c r="AG113" i="11"/>
  <c r="U113" i="11"/>
  <c r="I113" i="11"/>
  <c r="BD113" i="11"/>
  <c r="AR113" i="11"/>
  <c r="AF113" i="11"/>
  <c r="T113" i="11"/>
  <c r="H113" i="11"/>
  <c r="B113" i="11"/>
  <c r="BO113" i="11"/>
  <c r="BC113" i="11"/>
  <c r="AQ113" i="11"/>
  <c r="AE113" i="11"/>
  <c r="S113" i="11"/>
  <c r="BN113" i="11"/>
  <c r="BB113" i="11"/>
  <c r="AP113" i="11"/>
  <c r="AD113" i="11"/>
  <c r="R113" i="11"/>
  <c r="BM113" i="11"/>
  <c r="AW113" i="11"/>
  <c r="AC113" i="11"/>
  <c r="M113" i="11"/>
  <c r="BL113" i="11"/>
  <c r="AV113" i="11"/>
  <c r="AB113" i="11"/>
  <c r="L113" i="11"/>
  <c r="BK113" i="11"/>
  <c r="AU113" i="11"/>
  <c r="AA113" i="11"/>
  <c r="K113" i="11"/>
  <c r="BJ113" i="11"/>
  <c r="AT113" i="11"/>
  <c r="Z113" i="11"/>
  <c r="J113" i="11"/>
  <c r="BI113" i="11"/>
  <c r="AO113" i="11"/>
  <c r="Y113" i="11"/>
  <c r="BH113" i="11"/>
  <c r="AN113" i="11"/>
  <c r="X113" i="11"/>
  <c r="BG113" i="11"/>
  <c r="AM113" i="11"/>
  <c r="W113" i="11"/>
  <c r="BF113" i="11"/>
  <c r="AL113" i="11"/>
  <c r="V113" i="11"/>
  <c r="BA113" i="11"/>
  <c r="AK113" i="11"/>
  <c r="Q113" i="11"/>
  <c r="P113" i="11"/>
  <c r="O113" i="11"/>
  <c r="N113" i="11"/>
  <c r="AZ113" i="11"/>
  <c r="AY113" i="11"/>
  <c r="AX113" i="11"/>
  <c r="AJ113" i="11"/>
  <c r="AI113" i="11"/>
  <c r="AH113" i="11"/>
  <c r="K20" i="11"/>
  <c r="K9" i="11"/>
  <c r="W20" i="11"/>
  <c r="W9" i="11"/>
  <c r="AI20" i="11"/>
  <c r="AI9" i="11"/>
  <c r="AU20" i="11"/>
  <c r="AU9" i="11"/>
  <c r="BG20" i="11"/>
  <c r="BG9" i="11"/>
  <c r="G10" i="11"/>
  <c r="H10" i="11"/>
  <c r="K28" i="11"/>
  <c r="AS9" i="11"/>
  <c r="V9" i="11"/>
  <c r="AT9" i="11"/>
  <c r="AJ20" i="11"/>
  <c r="X187" i="11"/>
  <c r="X79" i="11"/>
  <c r="AK9" i="11"/>
  <c r="AK20" i="11"/>
  <c r="Q184" i="11"/>
  <c r="Q188" i="11"/>
  <c r="Q79" i="11"/>
  <c r="AC184" i="11"/>
  <c r="AC79" i="11"/>
  <c r="AO184" i="11"/>
  <c r="AO79" i="11"/>
  <c r="BA184" i="11"/>
  <c r="BA79" i="11"/>
  <c r="BM184" i="11"/>
  <c r="BM188" i="11"/>
  <c r="BM79" i="11"/>
  <c r="BK185" i="11"/>
  <c r="BK188" i="11"/>
  <c r="BK79" i="11"/>
  <c r="BM118" i="11"/>
  <c r="BA118" i="11"/>
  <c r="AO118" i="11"/>
  <c r="AC118" i="11"/>
  <c r="Q118" i="11"/>
  <c r="BG118" i="11"/>
  <c r="AU118" i="11"/>
  <c r="AI118" i="11"/>
  <c r="W118" i="11"/>
  <c r="K118" i="11"/>
  <c r="BF118" i="11"/>
  <c r="AR118" i="11"/>
  <c r="AD118" i="11"/>
  <c r="O118" i="11"/>
  <c r="BE118" i="11"/>
  <c r="AQ118" i="11"/>
  <c r="AB118" i="11"/>
  <c r="N118" i="11"/>
  <c r="BD118" i="11"/>
  <c r="AP118" i="11"/>
  <c r="AA118" i="11"/>
  <c r="M118" i="11"/>
  <c r="BC118" i="11"/>
  <c r="AN118" i="11"/>
  <c r="Z118" i="11"/>
  <c r="L118" i="11"/>
  <c r="BK118" i="11"/>
  <c r="AW118" i="11"/>
  <c r="AH118" i="11"/>
  <c r="T118" i="11"/>
  <c r="AZ118" i="11"/>
  <c r="AE118" i="11"/>
  <c r="AY118" i="11"/>
  <c r="Y118" i="11"/>
  <c r="AX118" i="11"/>
  <c r="X118" i="11"/>
  <c r="AV118" i="11"/>
  <c r="V118" i="11"/>
  <c r="AT118" i="11"/>
  <c r="U118" i="11"/>
  <c r="BO118" i="11"/>
  <c r="AS118" i="11"/>
  <c r="S118" i="11"/>
  <c r="BN118" i="11"/>
  <c r="AM118" i="11"/>
  <c r="R118" i="11"/>
  <c r="BL118" i="11"/>
  <c r="AL118" i="11"/>
  <c r="P118" i="11"/>
  <c r="BJ118" i="11"/>
  <c r="AK118" i="11"/>
  <c r="J118" i="11"/>
  <c r="BI118" i="11"/>
  <c r="BH118" i="11"/>
  <c r="BB118" i="11"/>
  <c r="AJ118" i="11"/>
  <c r="AG118" i="11"/>
  <c r="AF118" i="11"/>
  <c r="I118" i="11"/>
  <c r="H118" i="11"/>
  <c r="B118" i="11"/>
  <c r="J9" i="11"/>
  <c r="BG112" i="11"/>
  <c r="AU112" i="11"/>
  <c r="AI112" i="11"/>
  <c r="W112" i="11"/>
  <c r="K112" i="11"/>
  <c r="BF112" i="11"/>
  <c r="AT112" i="11"/>
  <c r="AH112" i="11"/>
  <c r="V112" i="11"/>
  <c r="J112" i="11"/>
  <c r="BE112" i="11"/>
  <c r="AS112" i="11"/>
  <c r="AG112" i="11"/>
  <c r="U112" i="11"/>
  <c r="I112" i="11"/>
  <c r="BD112" i="11"/>
  <c r="AR112" i="11"/>
  <c r="AF112" i="11"/>
  <c r="T112" i="11"/>
  <c r="H112" i="11"/>
  <c r="B112" i="11"/>
  <c r="BH112" i="11"/>
  <c r="AN112" i="11"/>
  <c r="X112" i="11"/>
  <c r="BC112" i="11"/>
  <c r="AM112" i="11"/>
  <c r="S112" i="11"/>
  <c r="BB112" i="11"/>
  <c r="AL112" i="11"/>
  <c r="R112" i="11"/>
  <c r="BA112" i="11"/>
  <c r="AK112" i="11"/>
  <c r="Q112" i="11"/>
  <c r="AZ112" i="11"/>
  <c r="AJ112" i="11"/>
  <c r="P112" i="11"/>
  <c r="BO112" i="11"/>
  <c r="AY112" i="11"/>
  <c r="AE112" i="11"/>
  <c r="O112" i="11"/>
  <c r="BN112" i="11"/>
  <c r="AX112" i="11"/>
  <c r="AD112" i="11"/>
  <c r="N112" i="11"/>
  <c r="BM112" i="11"/>
  <c r="AW112" i="11"/>
  <c r="AC112" i="11"/>
  <c r="M112" i="11"/>
  <c r="BL112" i="11"/>
  <c r="AV112" i="11"/>
  <c r="AB112" i="11"/>
  <c r="L112" i="11"/>
  <c r="Y112" i="11"/>
  <c r="BK112" i="11"/>
  <c r="BJ112" i="11"/>
  <c r="BI112" i="11"/>
  <c r="AQ112" i="11"/>
  <c r="AP112" i="11"/>
  <c r="AO112" i="11"/>
  <c r="AA112" i="11"/>
  <c r="BO117" i="11"/>
  <c r="BC117" i="11"/>
  <c r="AQ117" i="11"/>
  <c r="AE117" i="11"/>
  <c r="S117" i="11"/>
  <c r="BI117" i="11"/>
  <c r="AW117" i="11"/>
  <c r="AK117" i="11"/>
  <c r="Y117" i="11"/>
  <c r="M117" i="11"/>
  <c r="BK117" i="11"/>
  <c r="AV117" i="11"/>
  <c r="AH117" i="11"/>
  <c r="T117" i="11"/>
  <c r="BJ117" i="11"/>
  <c r="AU117" i="11"/>
  <c r="AG117" i="11"/>
  <c r="R117" i="11"/>
  <c r="BH117" i="11"/>
  <c r="AT117" i="11"/>
  <c r="AF117" i="11"/>
  <c r="Q117" i="11"/>
  <c r="BG117" i="11"/>
  <c r="AS117" i="11"/>
  <c r="AD117" i="11"/>
  <c r="P117" i="11"/>
  <c r="BA117" i="11"/>
  <c r="AM117" i="11"/>
  <c r="X117" i="11"/>
  <c r="J117" i="11"/>
  <c r="AP117" i="11"/>
  <c r="U117" i="11"/>
  <c r="BN117" i="11"/>
  <c r="AO117" i="11"/>
  <c r="O117" i="11"/>
  <c r="BM117" i="11"/>
  <c r="AN117" i="11"/>
  <c r="N117" i="11"/>
  <c r="BL117" i="11"/>
  <c r="AL117" i="11"/>
  <c r="L117" i="11"/>
  <c r="BF117" i="11"/>
  <c r="AJ117" i="11"/>
  <c r="K117" i="11"/>
  <c r="BE117" i="11"/>
  <c r="AI117" i="11"/>
  <c r="I117" i="11"/>
  <c r="BD117" i="11"/>
  <c r="AC117" i="11"/>
  <c r="H117" i="11"/>
  <c r="BB117" i="11"/>
  <c r="AB117" i="11"/>
  <c r="AZ117" i="11"/>
  <c r="AA117" i="11"/>
  <c r="AR117" i="11"/>
  <c r="Z117" i="11"/>
  <c r="W117" i="11"/>
  <c r="V117" i="11"/>
  <c r="AY117" i="11"/>
  <c r="AX117" i="11"/>
  <c r="Y20" i="11"/>
  <c r="Y9" i="11"/>
  <c r="AW20" i="11"/>
  <c r="AW9" i="11"/>
  <c r="E225" i="11"/>
  <c r="E87" i="11"/>
  <c r="E95" i="11"/>
  <c r="E97" i="11"/>
  <c r="BB9" i="11"/>
  <c r="AV20" i="11"/>
  <c r="BM109" i="11"/>
  <c r="BA109" i="11"/>
  <c r="AO109" i="11"/>
  <c r="AC109" i="11"/>
  <c r="Q109" i="11"/>
  <c r="BK109" i="11"/>
  <c r="AY109" i="11"/>
  <c r="AM109" i="11"/>
  <c r="AA109" i="11"/>
  <c r="O109" i="11"/>
  <c r="BJ109" i="11"/>
  <c r="AX109" i="11"/>
  <c r="AL109" i="11"/>
  <c r="Z109" i="11"/>
  <c r="N109" i="11"/>
  <c r="BB109" i="11"/>
  <c r="AJ109" i="11"/>
  <c r="U109" i="11"/>
  <c r="AZ109" i="11"/>
  <c r="AI109" i="11"/>
  <c r="T109" i="11"/>
  <c r="BO109" i="11"/>
  <c r="AW109" i="11"/>
  <c r="AH109" i="11"/>
  <c r="S109" i="11"/>
  <c r="BN109" i="11"/>
  <c r="AV109" i="11"/>
  <c r="AG109" i="11"/>
  <c r="R109" i="11"/>
  <c r="BL109" i="11"/>
  <c r="AU109" i="11"/>
  <c r="AF109" i="11"/>
  <c r="P109" i="11"/>
  <c r="BI109" i="11"/>
  <c r="AT109" i="11"/>
  <c r="AE109" i="11"/>
  <c r="M109" i="11"/>
  <c r="BH109" i="11"/>
  <c r="AS109" i="11"/>
  <c r="AD109" i="11"/>
  <c r="L109" i="11"/>
  <c r="BG109" i="11"/>
  <c r="AR109" i="11"/>
  <c r="AB109" i="11"/>
  <c r="K109" i="11"/>
  <c r="BF109" i="11"/>
  <c r="AQ109" i="11"/>
  <c r="Y109" i="11"/>
  <c r="J109" i="11"/>
  <c r="I109" i="11"/>
  <c r="H109" i="11"/>
  <c r="BE109" i="11"/>
  <c r="BD109" i="11"/>
  <c r="BC109" i="11"/>
  <c r="AP109" i="11"/>
  <c r="AN109" i="11"/>
  <c r="AK109" i="11"/>
  <c r="X109" i="11"/>
  <c r="W109" i="11"/>
  <c r="BA20" i="11"/>
  <c r="BI120" i="11"/>
  <c r="AW120" i="11"/>
  <c r="AK120" i="11"/>
  <c r="Y120" i="11"/>
  <c r="M120" i="11"/>
  <c r="BF120" i="11"/>
  <c r="AT120" i="11"/>
  <c r="AH120" i="11"/>
  <c r="V120" i="11"/>
  <c r="J120" i="11"/>
  <c r="BO120" i="11"/>
  <c r="BC120" i="11"/>
  <c r="AQ120" i="11"/>
  <c r="AE120" i="11"/>
  <c r="S120" i="11"/>
  <c r="BD120" i="11"/>
  <c r="AN120" i="11"/>
  <c r="X120" i="11"/>
  <c r="H120" i="11"/>
  <c r="B120" i="11"/>
  <c r="BB120" i="11"/>
  <c r="AM120" i="11"/>
  <c r="W120" i="11"/>
  <c r="BA120" i="11"/>
  <c r="AL120" i="11"/>
  <c r="U120" i="11"/>
  <c r="AZ120" i="11"/>
  <c r="AJ120" i="11"/>
  <c r="T120" i="11"/>
  <c r="BJ120" i="11"/>
  <c r="AS120" i="11"/>
  <c r="AC120" i="11"/>
  <c r="N120" i="11"/>
  <c r="BG120" i="11"/>
  <c r="AD120" i="11"/>
  <c r="BE120" i="11"/>
  <c r="AB120" i="11"/>
  <c r="AY120" i="11"/>
  <c r="AA120" i="11"/>
  <c r="AX120" i="11"/>
  <c r="Z120" i="11"/>
  <c r="AV120" i="11"/>
  <c r="R120" i="11"/>
  <c r="AU120" i="11"/>
  <c r="Q120" i="11"/>
  <c r="AR120" i="11"/>
  <c r="P120" i="11"/>
  <c r="BN120" i="11"/>
  <c r="AP120" i="11"/>
  <c r="O120" i="11"/>
  <c r="BM120" i="11"/>
  <c r="AO120" i="11"/>
  <c r="L120" i="11"/>
  <c r="AG120" i="11"/>
  <c r="AF120" i="11"/>
  <c r="K120" i="11"/>
  <c r="I120" i="11"/>
  <c r="BL120" i="11"/>
  <c r="AI120" i="11"/>
  <c r="AC9" i="11"/>
  <c r="AC20" i="11"/>
  <c r="AO20" i="11"/>
  <c r="AO9" i="11"/>
  <c r="BM20" i="11"/>
  <c r="BM9" i="11"/>
  <c r="Q9" i="11"/>
  <c r="AH9" i="11"/>
  <c r="R202" i="11"/>
  <c r="AD202" i="11"/>
  <c r="AP202" i="11"/>
  <c r="BB202" i="11"/>
  <c r="BN202" i="11"/>
  <c r="F11" i="10"/>
  <c r="F10" i="10"/>
  <c r="R9" i="11"/>
  <c r="BE9" i="11"/>
  <c r="M20" i="11"/>
  <c r="BH20" i="11"/>
  <c r="Z112" i="11"/>
  <c r="BH120" i="11"/>
  <c r="L9" i="11"/>
  <c r="L20" i="11"/>
  <c r="BK102" i="11"/>
  <c r="AY102" i="11"/>
  <c r="AM102" i="11"/>
  <c r="AA102" i="11"/>
  <c r="O102" i="11"/>
  <c r="BI102" i="11"/>
  <c r="AW102" i="11"/>
  <c r="AK102" i="11"/>
  <c r="Y102" i="11"/>
  <c r="M102" i="11"/>
  <c r="BL102" i="11"/>
  <c r="AV102" i="11"/>
  <c r="AH102" i="11"/>
  <c r="T102" i="11"/>
  <c r="BJ102" i="11"/>
  <c r="AU102" i="11"/>
  <c r="AG102" i="11"/>
  <c r="S102" i="11"/>
  <c r="BH102" i="11"/>
  <c r="AT102" i="11"/>
  <c r="AF102" i="11"/>
  <c r="R102" i="11"/>
  <c r="BG102" i="11"/>
  <c r="AS102" i="11"/>
  <c r="AE102" i="11"/>
  <c r="Q102" i="11"/>
  <c r="BF102" i="11"/>
  <c r="AR102" i="11"/>
  <c r="AD102" i="11"/>
  <c r="P102" i="11"/>
  <c r="BE102" i="11"/>
  <c r="AQ102" i="11"/>
  <c r="AC102" i="11"/>
  <c r="N102" i="11"/>
  <c r="BD102" i="11"/>
  <c r="AP102" i="11"/>
  <c r="AB102" i="11"/>
  <c r="L102" i="11"/>
  <c r="BC102" i="11"/>
  <c r="AO102" i="11"/>
  <c r="Z102" i="11"/>
  <c r="K102" i="11"/>
  <c r="BB102" i="11"/>
  <c r="AN102" i="11"/>
  <c r="X102" i="11"/>
  <c r="J102" i="11"/>
  <c r="AJ102" i="11"/>
  <c r="AI102" i="11"/>
  <c r="W102" i="11"/>
  <c r="V102" i="11"/>
  <c r="U102" i="11"/>
  <c r="BO102" i="11"/>
  <c r="I102" i="11"/>
  <c r="BN102" i="11"/>
  <c r="H102" i="11"/>
  <c r="BM102" i="11"/>
  <c r="BA102" i="11"/>
  <c r="AZ102" i="11"/>
  <c r="AX102" i="11"/>
  <c r="AL102" i="11"/>
  <c r="BF9" i="11"/>
  <c r="BI20" i="11"/>
  <c r="H202" i="11"/>
  <c r="T202" i="11"/>
  <c r="AF202" i="11"/>
  <c r="AR202" i="11"/>
  <c r="BD202" i="11"/>
  <c r="BK120" i="11"/>
  <c r="BK110" i="11"/>
  <c r="AY110" i="11"/>
  <c r="AM110" i="11"/>
  <c r="AA110" i="11"/>
  <c r="O110" i="11"/>
  <c r="BJ110" i="11"/>
  <c r="AX110" i="11"/>
  <c r="BI110" i="11"/>
  <c r="AW110" i="11"/>
  <c r="AK110" i="11"/>
  <c r="Y110" i="11"/>
  <c r="M110" i="11"/>
  <c r="BH110" i="11"/>
  <c r="AV110" i="11"/>
  <c r="AJ110" i="11"/>
  <c r="X110" i="11"/>
  <c r="L110" i="11"/>
  <c r="BD110" i="11"/>
  <c r="AN110" i="11"/>
  <c r="V110" i="11"/>
  <c r="BC110" i="11"/>
  <c r="AL110" i="11"/>
  <c r="U110" i="11"/>
  <c r="BB110" i="11"/>
  <c r="AI110" i="11"/>
  <c r="T110" i="11"/>
  <c r="BA110" i="11"/>
  <c r="AH110" i="11"/>
  <c r="S110" i="11"/>
  <c r="AZ110" i="11"/>
  <c r="AG110" i="11"/>
  <c r="R110" i="11"/>
  <c r="BO110" i="11"/>
  <c r="AU110" i="11"/>
  <c r="AF110" i="11"/>
  <c r="Q110" i="11"/>
  <c r="BN110" i="11"/>
  <c r="AT110" i="11"/>
  <c r="AE110" i="11"/>
  <c r="P110" i="11"/>
  <c r="BM110" i="11"/>
  <c r="AS110" i="11"/>
  <c r="AD110" i="11"/>
  <c r="N110" i="11"/>
  <c r="BL110" i="11"/>
  <c r="AR110" i="11"/>
  <c r="AC110" i="11"/>
  <c r="K110" i="11"/>
  <c r="I110" i="11"/>
  <c r="H110" i="11"/>
  <c r="B110" i="11"/>
  <c r="BG110" i="11"/>
  <c r="BF110" i="11"/>
  <c r="BE110" i="11"/>
  <c r="AQ110" i="11"/>
  <c r="AP110" i="11"/>
  <c r="AO110" i="11"/>
  <c r="AB110" i="11"/>
  <c r="Z110" i="11"/>
  <c r="W110" i="11"/>
  <c r="J110" i="11"/>
  <c r="AP9" i="11"/>
  <c r="BJ9" i="11"/>
  <c r="AH21" i="11"/>
  <c r="X20" i="11"/>
  <c r="X9" i="11"/>
  <c r="U9" i="11"/>
  <c r="BI111" i="11"/>
  <c r="AW111" i="11"/>
  <c r="AK111" i="11"/>
  <c r="Y111" i="11"/>
  <c r="M111" i="11"/>
  <c r="BH111" i="11"/>
  <c r="AV111" i="11"/>
  <c r="AJ111" i="11"/>
  <c r="X111" i="11"/>
  <c r="L111" i="11"/>
  <c r="BG111" i="11"/>
  <c r="AU111" i="11"/>
  <c r="AI111" i="11"/>
  <c r="W111" i="11"/>
  <c r="K111" i="11"/>
  <c r="BF111" i="11"/>
  <c r="AT111" i="11"/>
  <c r="AH111" i="11"/>
  <c r="V111" i="11"/>
  <c r="J111" i="11"/>
  <c r="BN111" i="11"/>
  <c r="AX111" i="11"/>
  <c r="AD111" i="11"/>
  <c r="N111" i="11"/>
  <c r="BM111" i="11"/>
  <c r="AS111" i="11"/>
  <c r="AC111" i="11"/>
  <c r="I111" i="11"/>
  <c r="BL111" i="11"/>
  <c r="AR111" i="11"/>
  <c r="AB111" i="11"/>
  <c r="H111" i="11"/>
  <c r="B111" i="11"/>
  <c r="BK111" i="11"/>
  <c r="AQ111" i="11"/>
  <c r="AA111" i="11"/>
  <c r="BJ111" i="11"/>
  <c r="AP111" i="11"/>
  <c r="Z111" i="11"/>
  <c r="BE111" i="11"/>
  <c r="AO111" i="11"/>
  <c r="U111" i="11"/>
  <c r="BD111" i="11"/>
  <c r="AN111" i="11"/>
  <c r="T111" i="11"/>
  <c r="BC111" i="11"/>
  <c r="AM111" i="11"/>
  <c r="S111" i="11"/>
  <c r="BB111" i="11"/>
  <c r="AL111" i="11"/>
  <c r="R111" i="11"/>
  <c r="O111" i="11"/>
  <c r="BO111" i="11"/>
  <c r="BA111" i="11"/>
  <c r="AZ111" i="11"/>
  <c r="AY111" i="11"/>
  <c r="AG111" i="11"/>
  <c r="AF111" i="11"/>
  <c r="H210" i="11"/>
  <c r="H180" i="11"/>
  <c r="H182" i="11"/>
  <c r="B69" i="11"/>
  <c r="T210" i="11"/>
  <c r="T180" i="11"/>
  <c r="T182" i="11"/>
  <c r="AF180" i="11"/>
  <c r="AF182" i="11"/>
  <c r="AF210" i="11"/>
  <c r="AR210" i="11"/>
  <c r="AR212" i="11"/>
  <c r="AR180" i="11"/>
  <c r="AR182" i="11"/>
  <c r="BD210" i="11"/>
  <c r="BD180" i="11"/>
  <c r="BD182" i="11"/>
  <c r="T72" i="11"/>
  <c r="BD72" i="11"/>
  <c r="Q111" i="11"/>
  <c r="AY20" i="11"/>
  <c r="L208" i="11"/>
  <c r="L72" i="11"/>
  <c r="X208" i="11"/>
  <c r="X72" i="11"/>
  <c r="AJ208" i="11"/>
  <c r="AJ72" i="11"/>
  <c r="AV208" i="11"/>
  <c r="AV72" i="11"/>
  <c r="BH208" i="11"/>
  <c r="BH72" i="11"/>
  <c r="U72" i="11"/>
  <c r="BE72" i="11"/>
  <c r="K187" i="11"/>
  <c r="K188" i="11"/>
  <c r="K79" i="11"/>
  <c r="AE111" i="11"/>
  <c r="D225" i="11"/>
  <c r="D87" i="11"/>
  <c r="D95" i="11"/>
  <c r="O20" i="11"/>
  <c r="S202" i="11"/>
  <c r="AE202" i="11"/>
  <c r="AQ202" i="11"/>
  <c r="BC202" i="11"/>
  <c r="BO202" i="11"/>
  <c r="AF72" i="11"/>
  <c r="R184" i="11"/>
  <c r="R79" i="11"/>
  <c r="AD184" i="11"/>
  <c r="AD79" i="11"/>
  <c r="BB184" i="11"/>
  <c r="BB79" i="11"/>
  <c r="BN184" i="11"/>
  <c r="BN188" i="11"/>
  <c r="BN79" i="11"/>
  <c r="AB185" i="11"/>
  <c r="AB79" i="11"/>
  <c r="W79" i="11"/>
  <c r="S184" i="11"/>
  <c r="S188" i="11"/>
  <c r="S79" i="11"/>
  <c r="AE184" i="11"/>
  <c r="AE79" i="11"/>
  <c r="AQ184" i="11"/>
  <c r="AQ79" i="11"/>
  <c r="BC184" i="11"/>
  <c r="BC79" i="11"/>
  <c r="BO184" i="11"/>
  <c r="BO79" i="11"/>
  <c r="H216" i="11"/>
  <c r="B90" i="11"/>
  <c r="K191" i="11"/>
  <c r="K192" i="11"/>
  <c r="K84" i="11"/>
  <c r="W191" i="11"/>
  <c r="W84" i="11"/>
  <c r="AI191" i="11"/>
  <c r="AI192" i="11"/>
  <c r="AI84" i="11"/>
  <c r="AU191" i="11"/>
  <c r="AU192" i="11"/>
  <c r="AU84" i="11"/>
  <c r="BG191" i="11"/>
  <c r="BG192" i="11"/>
  <c r="BG84" i="11"/>
  <c r="H214" i="11"/>
  <c r="H219" i="11"/>
  <c r="B88" i="11"/>
  <c r="AQ72" i="11"/>
  <c r="M190" i="11"/>
  <c r="M192" i="11"/>
  <c r="M84" i="11"/>
  <c r="Y190" i="11"/>
  <c r="Y192" i="11"/>
  <c r="Y84" i="11"/>
  <c r="AK190" i="11"/>
  <c r="AK192" i="11"/>
  <c r="AK84" i="11"/>
  <c r="AW190" i="11"/>
  <c r="AW192" i="11"/>
  <c r="AW84" i="11"/>
  <c r="BI190" i="11"/>
  <c r="BI192" i="11"/>
  <c r="BI84" i="11"/>
  <c r="I219" i="11"/>
  <c r="U219" i="11"/>
  <c r="AG219" i="11"/>
  <c r="AS219" i="11"/>
  <c r="BE219" i="11"/>
  <c r="BK119" i="11"/>
  <c r="AY119" i="11"/>
  <c r="AM119" i="11"/>
  <c r="AA119" i="11"/>
  <c r="O119" i="11"/>
  <c r="BH119" i="11"/>
  <c r="BE119" i="11"/>
  <c r="AS119" i="11"/>
  <c r="AG119" i="11"/>
  <c r="U119" i="11"/>
  <c r="I119" i="11"/>
  <c r="BB119" i="11"/>
  <c r="AN119" i="11"/>
  <c r="Y119" i="11"/>
  <c r="K119" i="11"/>
  <c r="BA119" i="11"/>
  <c r="AL119" i="11"/>
  <c r="X119" i="11"/>
  <c r="J119" i="11"/>
  <c r="BO119" i="11"/>
  <c r="AZ119" i="11"/>
  <c r="AK119" i="11"/>
  <c r="W119" i="11"/>
  <c r="H119" i="11"/>
  <c r="B119" i="11"/>
  <c r="BN119" i="11"/>
  <c r="AX119" i="11"/>
  <c r="AJ119" i="11"/>
  <c r="V119" i="11"/>
  <c r="BG119" i="11"/>
  <c r="AR119" i="11"/>
  <c r="AD119" i="11"/>
  <c r="P119" i="11"/>
  <c r="BM119" i="11"/>
  <c r="AP119" i="11"/>
  <c r="Q119" i="11"/>
  <c r="BL119" i="11"/>
  <c r="AO119" i="11"/>
  <c r="N119" i="11"/>
  <c r="BJ119" i="11"/>
  <c r="AI119" i="11"/>
  <c r="M119" i="11"/>
  <c r="BI119" i="11"/>
  <c r="AH119" i="11"/>
  <c r="L119" i="11"/>
  <c r="BF119" i="11"/>
  <c r="AF119" i="11"/>
  <c r="BD119" i="11"/>
  <c r="AE119" i="11"/>
  <c r="BC119" i="11"/>
  <c r="AC119" i="11"/>
  <c r="AW119" i="11"/>
  <c r="AB119" i="11"/>
  <c r="AV119" i="11"/>
  <c r="Z119" i="11"/>
  <c r="AU119" i="11"/>
  <c r="AT119" i="11"/>
  <c r="AQ119" i="11"/>
  <c r="T119" i="11"/>
  <c r="BK20" i="11"/>
  <c r="P210" i="11"/>
  <c r="P212" i="11"/>
  <c r="P180" i="11"/>
  <c r="P182" i="11"/>
  <c r="AB210" i="11"/>
  <c r="AB180" i="11"/>
  <c r="AB182" i="11"/>
  <c r="AN210" i="11"/>
  <c r="AN212" i="11"/>
  <c r="AN180" i="11"/>
  <c r="AN182" i="11"/>
  <c r="AZ210" i="11"/>
  <c r="AZ180" i="11"/>
  <c r="AZ182" i="11"/>
  <c r="BL210" i="11"/>
  <c r="BL212" i="11"/>
  <c r="BL180" i="11"/>
  <c r="BL182" i="11"/>
  <c r="AR72" i="11"/>
  <c r="AP79" i="11"/>
  <c r="N190" i="11"/>
  <c r="N192" i="11"/>
  <c r="N84" i="11"/>
  <c r="Z190" i="11"/>
  <c r="Z192" i="11"/>
  <c r="Z84" i="11"/>
  <c r="AL190" i="11"/>
  <c r="AL192" i="11"/>
  <c r="AL84" i="11"/>
  <c r="AX190" i="11"/>
  <c r="AX192" i="11"/>
  <c r="AX84" i="11"/>
  <c r="BJ190" i="11"/>
  <c r="BJ192" i="11"/>
  <c r="BJ84" i="11"/>
  <c r="H208" i="11"/>
  <c r="B67" i="11"/>
  <c r="Q210" i="11"/>
  <c r="Q180" i="11"/>
  <c r="Q182" i="11"/>
  <c r="AC210" i="11"/>
  <c r="AC212" i="11"/>
  <c r="AC180" i="11"/>
  <c r="AC182" i="11"/>
  <c r="AO210" i="11"/>
  <c r="AO180" i="11"/>
  <c r="AO182" i="11"/>
  <c r="BA210" i="11"/>
  <c r="BA180" i="11"/>
  <c r="BA182" i="11"/>
  <c r="BM210" i="11"/>
  <c r="BM180" i="11"/>
  <c r="BM182" i="11"/>
  <c r="I72" i="11"/>
  <c r="AS72" i="11"/>
  <c r="M202" i="11"/>
  <c r="Y202" i="11"/>
  <c r="R210" i="11"/>
  <c r="R212" i="11"/>
  <c r="R180" i="11"/>
  <c r="R182" i="11"/>
  <c r="AD210" i="11"/>
  <c r="AD180" i="11"/>
  <c r="AP210" i="11"/>
  <c r="AP212" i="11"/>
  <c r="AP180" i="11"/>
  <c r="AP182" i="11"/>
  <c r="BB210" i="11"/>
  <c r="BB212" i="11"/>
  <c r="BB180" i="11"/>
  <c r="BB182" i="11"/>
  <c r="BN210" i="11"/>
  <c r="BN180" i="11"/>
  <c r="R119" i="11"/>
  <c r="BC21" i="11"/>
  <c r="AA9" i="11"/>
  <c r="J208" i="11"/>
  <c r="J72" i="11"/>
  <c r="V208" i="11"/>
  <c r="V72" i="11"/>
  <c r="AH208" i="11"/>
  <c r="AH72" i="11"/>
  <c r="AT208" i="11"/>
  <c r="AT72" i="11"/>
  <c r="BF208" i="11"/>
  <c r="BF72" i="11"/>
  <c r="A210" i="11"/>
  <c r="A180" i="11"/>
  <c r="S72" i="11"/>
  <c r="BC72" i="11"/>
  <c r="P111" i="11"/>
  <c r="S119" i="11"/>
  <c r="S210" i="11"/>
  <c r="S180" i="11"/>
  <c r="S182" i="11"/>
  <c r="AE210" i="11"/>
  <c r="AE180" i="11"/>
  <c r="AE182" i="11"/>
  <c r="AQ210" i="11"/>
  <c r="AQ180" i="11"/>
  <c r="AQ182" i="11"/>
  <c r="BC210" i="11"/>
  <c r="BC180" i="11"/>
  <c r="BC182" i="11"/>
  <c r="BO180" i="11"/>
  <c r="BO182" i="11"/>
  <c r="BO210" i="11"/>
  <c r="AR188" i="11"/>
  <c r="J79" i="11"/>
  <c r="AA79" i="11"/>
  <c r="BL79" i="11"/>
  <c r="O190" i="11"/>
  <c r="O192" i="11"/>
  <c r="O84" i="11"/>
  <c r="AA190" i="11"/>
  <c r="AA192" i="11"/>
  <c r="AA84" i="11"/>
  <c r="AM190" i="11"/>
  <c r="AM192" i="11"/>
  <c r="AM84" i="11"/>
  <c r="AY190" i="11"/>
  <c r="AY192" i="11"/>
  <c r="AY84" i="11"/>
  <c r="BK190" i="11"/>
  <c r="BK192" i="11"/>
  <c r="BK84" i="11"/>
  <c r="J219" i="11"/>
  <c r="V219" i="11"/>
  <c r="I184" i="11"/>
  <c r="I188" i="11"/>
  <c r="I79" i="11"/>
  <c r="U184" i="11"/>
  <c r="U79" i="11"/>
  <c r="AG184" i="11"/>
  <c r="AG79" i="11"/>
  <c r="AS184" i="11"/>
  <c r="AS188" i="11"/>
  <c r="AS79" i="11"/>
  <c r="BE184" i="11"/>
  <c r="BE79" i="11"/>
  <c r="P190" i="11"/>
  <c r="P192" i="11"/>
  <c r="P84" i="11"/>
  <c r="AB190" i="11"/>
  <c r="AB192" i="11"/>
  <c r="AB84" i="11"/>
  <c r="AN190" i="11"/>
  <c r="AN192" i="11"/>
  <c r="AN84" i="11"/>
  <c r="AZ190" i="11"/>
  <c r="AZ192" i="11"/>
  <c r="AZ84" i="11"/>
  <c r="BL190" i="11"/>
  <c r="BL192" i="11"/>
  <c r="BL84" i="11"/>
  <c r="I210" i="11"/>
  <c r="I212" i="11"/>
  <c r="I180" i="11"/>
  <c r="I182" i="11"/>
  <c r="U210" i="11"/>
  <c r="U212" i="11"/>
  <c r="U180" i="11"/>
  <c r="U182" i="11"/>
  <c r="AG210" i="11"/>
  <c r="AG212" i="11"/>
  <c r="AG180" i="11"/>
  <c r="AG182" i="11"/>
  <c r="AS210" i="11"/>
  <c r="AS212" i="11"/>
  <c r="AS180" i="11"/>
  <c r="AS182" i="11"/>
  <c r="BE210" i="11"/>
  <c r="BE212" i="11"/>
  <c r="BE180" i="11"/>
  <c r="BE182" i="11"/>
  <c r="L79" i="11"/>
  <c r="AT79" i="11"/>
  <c r="Q190" i="11"/>
  <c r="Q192" i="11"/>
  <c r="Q84" i="11"/>
  <c r="AC190" i="11"/>
  <c r="AC192" i="11"/>
  <c r="AC84" i="11"/>
  <c r="AO190" i="11"/>
  <c r="AO192" i="11"/>
  <c r="AO84" i="11"/>
  <c r="BA190" i="11"/>
  <c r="BA192" i="11"/>
  <c r="BA84" i="11"/>
  <c r="BM190" i="11"/>
  <c r="BM192" i="11"/>
  <c r="BM84" i="11"/>
  <c r="R84" i="11"/>
  <c r="J210" i="11"/>
  <c r="J180" i="11"/>
  <c r="J182" i="11"/>
  <c r="V210" i="11"/>
  <c r="V180" i="11"/>
  <c r="V182" i="11"/>
  <c r="AH180" i="11"/>
  <c r="AH182" i="11"/>
  <c r="AH210" i="11"/>
  <c r="AT210" i="11"/>
  <c r="AT180" i="11"/>
  <c r="AT182" i="11"/>
  <c r="BF210" i="11"/>
  <c r="BF180" i="11"/>
  <c r="M72" i="11"/>
  <c r="Y72" i="11"/>
  <c r="AK72" i="11"/>
  <c r="AW72" i="11"/>
  <c r="BI72" i="11"/>
  <c r="AI184" i="11"/>
  <c r="AI79" i="11"/>
  <c r="AU184" i="11"/>
  <c r="AU188" i="11"/>
  <c r="AU79" i="11"/>
  <c r="BG184" i="11"/>
  <c r="BG79" i="11"/>
  <c r="B77" i="11"/>
  <c r="O79" i="11"/>
  <c r="AV79" i="11"/>
  <c r="K210" i="11"/>
  <c r="K212" i="11"/>
  <c r="K180" i="11"/>
  <c r="K182" i="11"/>
  <c r="W210" i="11"/>
  <c r="W212" i="11"/>
  <c r="W180" i="11"/>
  <c r="AI210" i="11"/>
  <c r="AI212" i="11"/>
  <c r="AI180" i="11"/>
  <c r="AI182" i="11"/>
  <c r="AU210" i="11"/>
  <c r="AU180" i="11"/>
  <c r="AU182" i="11"/>
  <c r="BG210" i="11"/>
  <c r="BG212" i="11"/>
  <c r="BG180" i="11"/>
  <c r="N72" i="11"/>
  <c r="Z72" i="11"/>
  <c r="AL72" i="11"/>
  <c r="AX72" i="11"/>
  <c r="BJ72" i="11"/>
  <c r="L188" i="11"/>
  <c r="BH184" i="11"/>
  <c r="BH79" i="11"/>
  <c r="P79" i="11"/>
  <c r="AY79" i="11"/>
  <c r="F97" i="11"/>
  <c r="AZ212" i="11"/>
  <c r="L210" i="11"/>
  <c r="L180" i="11"/>
  <c r="L182" i="11"/>
  <c r="X210" i="11"/>
  <c r="X180" i="11"/>
  <c r="X182" i="11"/>
  <c r="AJ210" i="11"/>
  <c r="AJ180" i="11"/>
  <c r="AJ182" i="11"/>
  <c r="AV210" i="11"/>
  <c r="AV180" i="11"/>
  <c r="AV182" i="11"/>
  <c r="BH210" i="11"/>
  <c r="BH180" i="11"/>
  <c r="BH182" i="11"/>
  <c r="O72" i="11"/>
  <c r="AA72" i="11"/>
  <c r="AM72" i="11"/>
  <c r="AY72" i="11"/>
  <c r="BK72" i="11"/>
  <c r="M184" i="11"/>
  <c r="M188" i="11"/>
  <c r="M198" i="11"/>
  <c r="M79" i="11"/>
  <c r="Y184" i="11"/>
  <c r="Y79" i="11"/>
  <c r="AK184" i="11"/>
  <c r="AK79" i="11"/>
  <c r="AW184" i="11"/>
  <c r="AW79" i="11"/>
  <c r="BI184" i="11"/>
  <c r="BI188" i="11"/>
  <c r="BI79" i="11"/>
  <c r="B78" i="11"/>
  <c r="AF79" i="11"/>
  <c r="AZ79" i="11"/>
  <c r="H190" i="11"/>
  <c r="H192" i="11"/>
  <c r="B82" i="11"/>
  <c r="F123" i="11"/>
  <c r="BA212" i="11"/>
  <c r="M210" i="11"/>
  <c r="M212" i="11"/>
  <c r="M180" i="11"/>
  <c r="Y210" i="11"/>
  <c r="Y212" i="11"/>
  <c r="Y180" i="11"/>
  <c r="Y182" i="11"/>
  <c r="AK210" i="11"/>
  <c r="AK180" i="11"/>
  <c r="AW210" i="11"/>
  <c r="AW212" i="11"/>
  <c r="AW180" i="11"/>
  <c r="AW182" i="11"/>
  <c r="BI210" i="11"/>
  <c r="BI180" i="11"/>
  <c r="BI182" i="11"/>
  <c r="P72" i="11"/>
  <c r="AB72" i="11"/>
  <c r="AN72" i="11"/>
  <c r="AZ72" i="11"/>
  <c r="BL72" i="11"/>
  <c r="N184" i="11"/>
  <c r="N79" i="11"/>
  <c r="Z184" i="11"/>
  <c r="Z79" i="11"/>
  <c r="AL184" i="11"/>
  <c r="AL79" i="11"/>
  <c r="AX184" i="11"/>
  <c r="AX188" i="11"/>
  <c r="AX79" i="11"/>
  <c r="BJ184" i="11"/>
  <c r="BJ79" i="11"/>
  <c r="AH79" i="11"/>
  <c r="BB84" i="11"/>
  <c r="AD212" i="11"/>
  <c r="N210" i="11"/>
  <c r="N180" i="11"/>
  <c r="N182" i="11"/>
  <c r="Z210" i="11"/>
  <c r="Z180" i="11"/>
  <c r="Z182" i="11"/>
  <c r="AL210" i="11"/>
  <c r="AL180" i="11"/>
  <c r="AX210" i="11"/>
  <c r="AX212" i="11"/>
  <c r="AX180" i="11"/>
  <c r="AX182" i="11"/>
  <c r="BJ210" i="11"/>
  <c r="BJ180" i="11"/>
  <c r="BJ182" i="11"/>
  <c r="Q72" i="11"/>
  <c r="AC72" i="11"/>
  <c r="AO72" i="11"/>
  <c r="BA72" i="11"/>
  <c r="BM72" i="11"/>
  <c r="O188" i="11"/>
  <c r="O198" i="11"/>
  <c r="AM188" i="11"/>
  <c r="AJ79" i="11"/>
  <c r="O210" i="11"/>
  <c r="O180" i="11"/>
  <c r="O182" i="11"/>
  <c r="AA210" i="11"/>
  <c r="AA180" i="11"/>
  <c r="AM210" i="11"/>
  <c r="AM212" i="11"/>
  <c r="AM180" i="11"/>
  <c r="AM182" i="11"/>
  <c r="AY210" i="11"/>
  <c r="AY212" i="11"/>
  <c r="AY180" i="11"/>
  <c r="AY182" i="11"/>
  <c r="BK210" i="11"/>
  <c r="BK212" i="11"/>
  <c r="BK180" i="11"/>
  <c r="R72" i="11"/>
  <c r="AD72" i="11"/>
  <c r="AP72" i="11"/>
  <c r="BB72" i="11"/>
  <c r="BN72" i="11"/>
  <c r="P188" i="11"/>
  <c r="AZ188" i="11"/>
  <c r="T79" i="11"/>
  <c r="AM79" i="11"/>
  <c r="H195" i="11"/>
  <c r="H196" i="11"/>
  <c r="B92" i="11"/>
  <c r="AH219" i="11"/>
  <c r="AT219" i="11"/>
  <c r="BF219" i="11"/>
  <c r="D149" i="11"/>
  <c r="L84" i="11"/>
  <c r="X84" i="11"/>
  <c r="AJ84" i="11"/>
  <c r="AV84" i="11"/>
  <c r="BH84" i="11"/>
  <c r="M219" i="11"/>
  <c r="Y219" i="11"/>
  <c r="AK219" i="11"/>
  <c r="AW219" i="11"/>
  <c r="BI219" i="11"/>
  <c r="G196" i="11"/>
  <c r="G198" i="11"/>
  <c r="S196" i="11"/>
  <c r="AE196" i="11"/>
  <c r="AQ196" i="11"/>
  <c r="BC196" i="11"/>
  <c r="BO196" i="11"/>
  <c r="N219" i="11"/>
  <c r="Z219" i="11"/>
  <c r="AL219" i="11"/>
  <c r="AX219" i="11"/>
  <c r="BJ219" i="11"/>
  <c r="T196" i="11"/>
  <c r="AF196" i="11"/>
  <c r="AR196" i="11"/>
  <c r="BD196" i="11"/>
  <c r="B83" i="11"/>
  <c r="O219" i="11"/>
  <c r="AA219" i="11"/>
  <c r="AM219" i="11"/>
  <c r="AY219" i="11"/>
  <c r="BK219" i="11"/>
  <c r="I196" i="11"/>
  <c r="U196" i="11"/>
  <c r="AG196" i="11"/>
  <c r="AS196" i="11"/>
  <c r="BE196" i="11"/>
  <c r="D219" i="11"/>
  <c r="P219" i="11"/>
  <c r="AB219" i="11"/>
  <c r="AN219" i="11"/>
  <c r="AZ219" i="11"/>
  <c r="BL219" i="11"/>
  <c r="J196" i="11"/>
  <c r="V196" i="11"/>
  <c r="AH196" i="11"/>
  <c r="AT196" i="11"/>
  <c r="BF196" i="11"/>
  <c r="BF198" i="11"/>
  <c r="W192" i="11"/>
  <c r="E219" i="11"/>
  <c r="Q219" i="11"/>
  <c r="AC219" i="11"/>
  <c r="AO219" i="11"/>
  <c r="BA219" i="11"/>
  <c r="BM219" i="11"/>
  <c r="K196" i="11"/>
  <c r="W196" i="11"/>
  <c r="AI196" i="11"/>
  <c r="AU196" i="11"/>
  <c r="BG196" i="11"/>
  <c r="D124" i="11"/>
  <c r="I140" i="11"/>
  <c r="U140" i="11"/>
  <c r="AG140" i="11"/>
  <c r="AS140" i="11"/>
  <c r="BE140" i="11"/>
  <c r="L192" i="11"/>
  <c r="X192" i="11"/>
  <c r="AJ192" i="11"/>
  <c r="AV192" i="11"/>
  <c r="BH192" i="11"/>
  <c r="F219" i="11"/>
  <c r="R219" i="11"/>
  <c r="AD219" i="11"/>
  <c r="AP219" i="11"/>
  <c r="BB219" i="11"/>
  <c r="BN219" i="11"/>
  <c r="L196" i="11"/>
  <c r="X196" i="11"/>
  <c r="AJ196" i="11"/>
  <c r="AV196" i="11"/>
  <c r="BH196" i="11"/>
  <c r="E123" i="11"/>
  <c r="J140" i="11"/>
  <c r="V140" i="11"/>
  <c r="AH140" i="11"/>
  <c r="AT140" i="11"/>
  <c r="BF140" i="11"/>
  <c r="H140" i="11"/>
  <c r="T140" i="11"/>
  <c r="AF140" i="11"/>
  <c r="L140" i="11"/>
  <c r="X140" i="11"/>
  <c r="AJ140" i="11"/>
  <c r="AV140" i="11"/>
  <c r="BH140" i="11"/>
  <c r="R173" i="11"/>
  <c r="H173" i="11"/>
  <c r="R140" i="11"/>
  <c r="AD140" i="11"/>
  <c r="AP140" i="11"/>
  <c r="BB140" i="11"/>
  <c r="BN140" i="11"/>
  <c r="S140" i="11"/>
  <c r="AE140" i="11"/>
  <c r="AQ140" i="11"/>
  <c r="BC140" i="11"/>
  <c r="BO140" i="11"/>
  <c r="L166" i="11"/>
  <c r="X166" i="11"/>
  <c r="AJ166" i="11"/>
  <c r="AV166" i="11"/>
  <c r="BH166" i="11"/>
  <c r="O147" i="11"/>
  <c r="AA147" i="11"/>
  <c r="AM147" i="11"/>
  <c r="AY147" i="11"/>
  <c r="BK147" i="11"/>
  <c r="P147" i="11"/>
  <c r="AB147" i="11"/>
  <c r="AN147" i="11"/>
  <c r="AZ147" i="11"/>
  <c r="BL147" i="11"/>
  <c r="N166" i="11"/>
  <c r="Z166" i="11"/>
  <c r="AL166" i="11"/>
  <c r="AX166" i="11"/>
  <c r="BJ166" i="11"/>
  <c r="O166" i="11"/>
  <c r="AA166" i="11"/>
  <c r="AM166" i="11"/>
  <c r="AY166" i="11"/>
  <c r="BK166" i="11"/>
  <c r="R147" i="11"/>
  <c r="AD147" i="11"/>
  <c r="AP147" i="11"/>
  <c r="BB147" i="11"/>
  <c r="BN147" i="11"/>
  <c r="P166" i="11"/>
  <c r="AB166" i="11"/>
  <c r="AN166" i="11"/>
  <c r="AZ166" i="11"/>
  <c r="BL166" i="11"/>
  <c r="Q166" i="11"/>
  <c r="AC166" i="11"/>
  <c r="AO166" i="11"/>
  <c r="BA166" i="11"/>
  <c r="BM166" i="11"/>
  <c r="N173" i="11"/>
  <c r="AX173" i="11"/>
  <c r="BJ173" i="11"/>
  <c r="R166" i="11"/>
  <c r="AD166" i="11"/>
  <c r="AP166" i="11"/>
  <c r="BB166" i="11"/>
  <c r="BN166" i="11"/>
  <c r="AA173" i="11"/>
  <c r="AY173" i="11"/>
  <c r="BK173" i="11"/>
  <c r="D175" i="11"/>
  <c r="S166" i="11"/>
  <c r="AE166" i="11"/>
  <c r="AQ166" i="11"/>
  <c r="BC166" i="11"/>
  <c r="BO166" i="11"/>
  <c r="P173" i="11"/>
  <c r="BL173" i="11"/>
  <c r="J147" i="11"/>
  <c r="V147" i="11"/>
  <c r="AH147" i="11"/>
  <c r="AT147" i="11"/>
  <c r="BF147" i="11"/>
  <c r="H166" i="11"/>
  <c r="T166" i="11"/>
  <c r="AF166" i="11"/>
  <c r="AR166" i="11"/>
  <c r="BD166" i="11"/>
  <c r="Q173" i="11"/>
  <c r="AC173" i="11"/>
  <c r="AO173" i="11"/>
  <c r="BM173" i="11"/>
  <c r="O173" i="11"/>
  <c r="J173" i="11"/>
  <c r="V173" i="11"/>
  <c r="AH173" i="11"/>
  <c r="AT173" i="11"/>
  <c r="BF173" i="11"/>
  <c r="E188" i="11"/>
  <c r="E198" i="11"/>
  <c r="D198" i="11"/>
  <c r="F198" i="11"/>
  <c r="M173" i="11"/>
  <c r="Y173" i="11"/>
  <c r="AK173" i="11"/>
  <c r="AW173" i="11"/>
  <c r="BI173" i="11"/>
  <c r="B161" i="11"/>
  <c r="B244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AK245" i="11"/>
  <c r="AL245" i="11"/>
  <c r="AM245" i="11"/>
  <c r="AN245" i="11"/>
  <c r="AO245" i="11"/>
  <c r="AP245" i="11"/>
  <c r="AQ245" i="11"/>
  <c r="AR245" i="11"/>
  <c r="AS245" i="11"/>
  <c r="AT245" i="11"/>
  <c r="AU245" i="11"/>
  <c r="AV245" i="11"/>
  <c r="AW245" i="11"/>
  <c r="AX245" i="11"/>
  <c r="AY245" i="11"/>
  <c r="AZ245" i="11"/>
  <c r="BA245" i="11"/>
  <c r="BB245" i="11"/>
  <c r="BC245" i="11"/>
  <c r="BD245" i="11"/>
  <c r="BE245" i="11"/>
  <c r="BF245" i="11"/>
  <c r="BG245" i="11"/>
  <c r="BH245" i="11"/>
  <c r="BI245" i="11"/>
  <c r="BJ245" i="11"/>
  <c r="BK245" i="11"/>
  <c r="BL245" i="11"/>
  <c r="BM245" i="11"/>
  <c r="BN245" i="11"/>
  <c r="BO245" i="11"/>
  <c r="D245" i="11"/>
  <c r="B17" i="9"/>
  <c r="H29" i="11"/>
  <c r="AF212" i="11"/>
  <c r="AA182" i="11"/>
  <c r="AQ212" i="11"/>
  <c r="S212" i="11"/>
  <c r="AQ21" i="11"/>
  <c r="AN21" i="11"/>
  <c r="I21" i="11"/>
  <c r="M182" i="11"/>
  <c r="AE21" i="11"/>
  <c r="AB212" i="11"/>
  <c r="Q212" i="11"/>
  <c r="BK182" i="11"/>
  <c r="BJ212" i="11"/>
  <c r="BI212" i="11"/>
  <c r="AK212" i="11"/>
  <c r="BO21" i="11"/>
  <c r="S21" i="11"/>
  <c r="AD182" i="11"/>
  <c r="BB188" i="11"/>
  <c r="AB188" i="11"/>
  <c r="Y188" i="11"/>
  <c r="W188" i="11"/>
  <c r="AK182" i="11"/>
  <c r="AA212" i="11"/>
  <c r="N212" i="11"/>
  <c r="BC188" i="11"/>
  <c r="AA188" i="11"/>
  <c r="BA188" i="11"/>
  <c r="BD21" i="11"/>
  <c r="AW188" i="11"/>
  <c r="BM212" i="11"/>
  <c r="H212" i="11"/>
  <c r="AR21" i="11"/>
  <c r="BO212" i="11"/>
  <c r="J212" i="11"/>
  <c r="R188" i="11"/>
  <c r="R198" i="11"/>
  <c r="T212" i="11"/>
  <c r="T21" i="11"/>
  <c r="AP188" i="11"/>
  <c r="AP198" i="11"/>
  <c r="BD188" i="11"/>
  <c r="AT188" i="11"/>
  <c r="J198" i="11"/>
  <c r="BG188" i="11"/>
  <c r="BG198" i="11"/>
  <c r="H21" i="11"/>
  <c r="AX21" i="11"/>
  <c r="P198" i="11"/>
  <c r="N188" i="11"/>
  <c r="N198" i="11"/>
  <c r="O212" i="11"/>
  <c r="BN212" i="11"/>
  <c r="AL182" i="11"/>
  <c r="AU212" i="11"/>
  <c r="AS21" i="11"/>
  <c r="AY188" i="11"/>
  <c r="W182" i="11"/>
  <c r="B182" i="11"/>
  <c r="BN182" i="11"/>
  <c r="BI198" i="11"/>
  <c r="AL212" i="11"/>
  <c r="AO212" i="11"/>
  <c r="U21" i="11"/>
  <c r="Y198" i="11"/>
  <c r="I29" i="11"/>
  <c r="BB121" i="11"/>
  <c r="BA121" i="11"/>
  <c r="I198" i="11"/>
  <c r="Q198" i="11"/>
  <c r="AR198" i="11"/>
  <c r="R21" i="11"/>
  <c r="E21" i="11"/>
  <c r="E33" i="11"/>
  <c r="AT21" i="11"/>
  <c r="AW198" i="11"/>
  <c r="T188" i="11"/>
  <c r="K198" i="11"/>
  <c r="L212" i="11"/>
  <c r="F36" i="11"/>
  <c r="F43" i="11"/>
  <c r="F49" i="11"/>
  <c r="BD212" i="11"/>
  <c r="Z212" i="11"/>
  <c r="AE212" i="11"/>
  <c r="BH188" i="11"/>
  <c r="BK198" i="11"/>
  <c r="AM198" i="11"/>
  <c r="AL188" i="11"/>
  <c r="AL198" i="11"/>
  <c r="AO188" i="11"/>
  <c r="AO198" i="11"/>
  <c r="AN188" i="11"/>
  <c r="AN198" i="11"/>
  <c r="AC188" i="11"/>
  <c r="B147" i="11"/>
  <c r="AD188" i="11"/>
  <c r="AD198" i="11"/>
  <c r="U188" i="11"/>
  <c r="U198" i="11"/>
  <c r="Z188" i="11"/>
  <c r="BJ188" i="11"/>
  <c r="BJ198" i="11"/>
  <c r="BE188" i="11"/>
  <c r="BG182" i="11"/>
  <c r="BF182" i="11"/>
  <c r="AS198" i="11"/>
  <c r="AT198" i="11"/>
  <c r="AK188" i="11"/>
  <c r="AK198" i="11"/>
  <c r="AH198" i="11"/>
  <c r="AE114" i="11"/>
  <c r="AE188" i="11"/>
  <c r="X188" i="11"/>
  <c r="X198" i="11"/>
  <c r="BO188" i="11"/>
  <c r="BJ121" i="11"/>
  <c r="BN198" i="11"/>
  <c r="BB198" i="11"/>
  <c r="AT212" i="11"/>
  <c r="AX114" i="11"/>
  <c r="AX198" i="11"/>
  <c r="AI188" i="11"/>
  <c r="AI198" i="11"/>
  <c r="AG188" i="11"/>
  <c r="AG198" i="11"/>
  <c r="AQ188" i="11"/>
  <c r="AQ198" i="11"/>
  <c r="AH114" i="11"/>
  <c r="B192" i="11"/>
  <c r="V114" i="11"/>
  <c r="AA198" i="11"/>
  <c r="B166" i="11"/>
  <c r="Y114" i="11"/>
  <c r="V198" i="11"/>
  <c r="B84" i="11"/>
  <c r="B72" i="11"/>
  <c r="B173" i="11"/>
  <c r="B79" i="11"/>
  <c r="H32" i="11"/>
  <c r="B196" i="11"/>
  <c r="D97" i="11"/>
  <c r="AJ212" i="11"/>
  <c r="L21" i="11"/>
  <c r="AP21" i="11"/>
  <c r="AO21" i="11"/>
  <c r="BE114" i="11"/>
  <c r="AD114" i="11"/>
  <c r="AG114" i="11"/>
  <c r="BB114" i="11"/>
  <c r="AC114" i="11"/>
  <c r="AR121" i="11"/>
  <c r="AJ121" i="11"/>
  <c r="AP121" i="11"/>
  <c r="BH121" i="11"/>
  <c r="AW121" i="11"/>
  <c r="BJ21" i="11"/>
  <c r="N21" i="11"/>
  <c r="BB21" i="11"/>
  <c r="AQ121" i="11"/>
  <c r="E124" i="11"/>
  <c r="BO198" i="11"/>
  <c r="D226" i="11"/>
  <c r="AD21" i="11"/>
  <c r="AC21" i="11"/>
  <c r="H114" i="11"/>
  <c r="B109" i="11"/>
  <c r="AS114" i="11"/>
  <c r="AV114" i="11"/>
  <c r="N114" i="11"/>
  <c r="AO114" i="11"/>
  <c r="AA121" i="11"/>
  <c r="BF121" i="11"/>
  <c r="J121" i="11"/>
  <c r="R121" i="11"/>
  <c r="BI121" i="11"/>
  <c r="AJ21" i="11"/>
  <c r="BG21" i="11"/>
  <c r="BH198" i="11"/>
  <c r="AU198" i="11"/>
  <c r="BE198" i="11"/>
  <c r="BF212" i="11"/>
  <c r="X212" i="11"/>
  <c r="Z21" i="11"/>
  <c r="F12" i="10"/>
  <c r="BA21" i="11"/>
  <c r="I114" i="11"/>
  <c r="BH114" i="11"/>
  <c r="BN114" i="11"/>
  <c r="Z114" i="11"/>
  <c r="BA114" i="11"/>
  <c r="E226" i="11"/>
  <c r="F226" i="11"/>
  <c r="AZ121" i="11"/>
  <c r="L121" i="11"/>
  <c r="X121" i="11"/>
  <c r="AG121" i="11"/>
  <c r="S121" i="11"/>
  <c r="AC198" i="11"/>
  <c r="BF21" i="11"/>
  <c r="B219" i="11"/>
  <c r="F124" i="11"/>
  <c r="G124" i="11"/>
  <c r="AV198" i="11"/>
  <c r="BD198" i="11"/>
  <c r="BC198" i="11"/>
  <c r="X21" i="11"/>
  <c r="G21" i="11"/>
  <c r="G33" i="11"/>
  <c r="F21" i="11"/>
  <c r="F33" i="11"/>
  <c r="D21" i="11"/>
  <c r="D33" i="11"/>
  <c r="D37" i="11"/>
  <c r="D44" i="11"/>
  <c r="BL21" i="11"/>
  <c r="AB21" i="11"/>
  <c r="BE21" i="11"/>
  <c r="AZ21" i="11"/>
  <c r="AF21" i="11"/>
  <c r="P21" i="11"/>
  <c r="J114" i="11"/>
  <c r="M114" i="11"/>
  <c r="S114" i="11"/>
  <c r="AL114" i="11"/>
  <c r="BM114" i="11"/>
  <c r="AB121" i="11"/>
  <c r="AL121" i="11"/>
  <c r="AM121" i="11"/>
  <c r="AU121" i="11"/>
  <c r="AE121" i="11"/>
  <c r="H155" i="11"/>
  <c r="H129" i="11"/>
  <c r="H87" i="11"/>
  <c r="H95" i="11"/>
  <c r="H61" i="11"/>
  <c r="H14" i="11"/>
  <c r="H13" i="11"/>
  <c r="K24" i="11"/>
  <c r="K29" i="11"/>
  <c r="AU21" i="11"/>
  <c r="I25" i="11"/>
  <c r="AJ198" i="11"/>
  <c r="D150" i="11"/>
  <c r="W198" i="11"/>
  <c r="AF198" i="11"/>
  <c r="AY21" i="11"/>
  <c r="W114" i="11"/>
  <c r="AQ114" i="11"/>
  <c r="AT114" i="11"/>
  <c r="AW114" i="11"/>
  <c r="BJ114" i="11"/>
  <c r="AV21" i="11"/>
  <c r="H121" i="11"/>
  <c r="B117" i="11"/>
  <c r="N121" i="11"/>
  <c r="P121" i="11"/>
  <c r="T121" i="11"/>
  <c r="BC121" i="11"/>
  <c r="AL21" i="11"/>
  <c r="AI21" i="11"/>
  <c r="Q21" i="11"/>
  <c r="BL198" i="11"/>
  <c r="L198" i="11"/>
  <c r="T198" i="11"/>
  <c r="AH212" i="11"/>
  <c r="BI21" i="11"/>
  <c r="X114" i="11"/>
  <c r="BF114" i="11"/>
  <c r="BI114" i="11"/>
  <c r="BO114" i="11"/>
  <c r="O114" i="11"/>
  <c r="Y21" i="11"/>
  <c r="AC121" i="11"/>
  <c r="AN121" i="11"/>
  <c r="AD121" i="11"/>
  <c r="AH121" i="11"/>
  <c r="BO121" i="11"/>
  <c r="B140" i="11"/>
  <c r="AZ198" i="11"/>
  <c r="AY198" i="11"/>
  <c r="H198" i="11"/>
  <c r="AE198" i="11"/>
  <c r="BH21" i="11"/>
  <c r="AK114" i="11"/>
  <c r="K114" i="11"/>
  <c r="P114" i="11"/>
  <c r="T114" i="11"/>
  <c r="AA114" i="11"/>
  <c r="AX121" i="11"/>
  <c r="BD121" i="11"/>
  <c r="BM121" i="11"/>
  <c r="AS121" i="11"/>
  <c r="AV121" i="11"/>
  <c r="AG21" i="11"/>
  <c r="I10" i="11"/>
  <c r="J10" i="11"/>
  <c r="K10" i="11"/>
  <c r="W21" i="11"/>
  <c r="V212" i="11"/>
  <c r="BH212" i="11"/>
  <c r="M21" i="11"/>
  <c r="AN114" i="11"/>
  <c r="AB114" i="11"/>
  <c r="AF114" i="11"/>
  <c r="AI114" i="11"/>
  <c r="AM114" i="11"/>
  <c r="AA21" i="11"/>
  <c r="AY121" i="11"/>
  <c r="I121" i="11"/>
  <c r="O121" i="11"/>
  <c r="BG121" i="11"/>
  <c r="BK121" i="11"/>
  <c r="AM21" i="11"/>
  <c r="BM198" i="11"/>
  <c r="AK21" i="11"/>
  <c r="J21" i="11"/>
  <c r="AW21" i="11"/>
  <c r="B245" i="11"/>
  <c r="D176" i="11"/>
  <c r="AB198" i="11"/>
  <c r="BK21" i="11"/>
  <c r="S198" i="11"/>
  <c r="AP114" i="11"/>
  <c r="AR114" i="11"/>
  <c r="AU114" i="11"/>
  <c r="AZ114" i="11"/>
  <c r="AY114" i="11"/>
  <c r="V121" i="11"/>
  <c r="AI121" i="11"/>
  <c r="AO121" i="11"/>
  <c r="Q121" i="11"/>
  <c r="M121" i="11"/>
  <c r="K21" i="11"/>
  <c r="Z198" i="11"/>
  <c r="AV212" i="11"/>
  <c r="BM21" i="11"/>
  <c r="BC114" i="11"/>
  <c r="BG114" i="11"/>
  <c r="BL114" i="11"/>
  <c r="U114" i="11"/>
  <c r="BK114" i="11"/>
  <c r="W121" i="11"/>
  <c r="BE121" i="11"/>
  <c r="BN121" i="11"/>
  <c r="AF121" i="11"/>
  <c r="Y121" i="11"/>
  <c r="BA198" i="11"/>
  <c r="V21" i="11"/>
  <c r="BN21" i="11"/>
  <c r="BL121" i="11"/>
  <c r="O21" i="11"/>
  <c r="BD114" i="11"/>
  <c r="L114" i="11"/>
  <c r="R114" i="11"/>
  <c r="AJ114" i="11"/>
  <c r="Q114" i="11"/>
  <c r="H25" i="11"/>
  <c r="Z121" i="11"/>
  <c r="K121" i="11"/>
  <c r="U121" i="11"/>
  <c r="AT121" i="11"/>
  <c r="AK121" i="11"/>
  <c r="G225" i="11"/>
  <c r="G87" i="11"/>
  <c r="G95" i="11"/>
  <c r="G97" i="11"/>
  <c r="J24" i="11"/>
  <c r="J28" i="11"/>
  <c r="J29" i="11"/>
  <c r="H103" i="11"/>
  <c r="I32" i="11"/>
  <c r="C17" i="9"/>
  <c r="J17" i="9"/>
  <c r="K17" i="9"/>
  <c r="F17" i="9"/>
  <c r="I17" i="9"/>
  <c r="L17" i="9"/>
  <c r="E17" i="9"/>
  <c r="H17" i="9"/>
  <c r="D17" i="9"/>
  <c r="I33" i="11"/>
  <c r="G36" i="11"/>
  <c r="G43" i="11"/>
  <c r="K25" i="11"/>
  <c r="K33" i="11"/>
  <c r="K32" i="11"/>
  <c r="B188" i="11"/>
  <c r="B198" i="11"/>
  <c r="B212" i="11"/>
  <c r="H33" i="11"/>
  <c r="J25" i="11"/>
  <c r="J33" i="11"/>
  <c r="J32" i="11"/>
  <c r="I155" i="11"/>
  <c r="I129" i="11"/>
  <c r="I87" i="11"/>
  <c r="I95" i="11"/>
  <c r="L28" i="11"/>
  <c r="L29" i="11"/>
  <c r="L24" i="11"/>
  <c r="I14" i="11"/>
  <c r="I13" i="11"/>
  <c r="I61" i="11"/>
  <c r="I103" i="11"/>
  <c r="G226" i="11"/>
  <c r="D45" i="11"/>
  <c r="D50" i="11"/>
  <c r="D51" i="11"/>
  <c r="B114" i="11"/>
  <c r="D98" i="11"/>
  <c r="K155" i="11"/>
  <c r="K129" i="11"/>
  <c r="K87" i="11"/>
  <c r="K95" i="11"/>
  <c r="K61" i="11"/>
  <c r="K14" i="11"/>
  <c r="K13" i="11"/>
  <c r="N24" i="11"/>
  <c r="N28" i="11"/>
  <c r="N29" i="11"/>
  <c r="K103" i="11"/>
  <c r="J155" i="11"/>
  <c r="J129" i="11"/>
  <c r="J87" i="11"/>
  <c r="J95" i="11"/>
  <c r="J61" i="11"/>
  <c r="M28" i="11"/>
  <c r="M29" i="11"/>
  <c r="M24" i="11"/>
  <c r="J14" i="11"/>
  <c r="J13" i="11"/>
  <c r="J103" i="11"/>
  <c r="H156" i="11"/>
  <c r="H130" i="11"/>
  <c r="H15" i="11"/>
  <c r="H62" i="11"/>
  <c r="H104" i="11"/>
  <c r="E37" i="11"/>
  <c r="E44" i="11"/>
  <c r="H157" i="11"/>
  <c r="H131" i="11"/>
  <c r="H63" i="11"/>
  <c r="H105" i="11"/>
  <c r="E176" i="11"/>
  <c r="F176" i="11"/>
  <c r="G176" i="11"/>
  <c r="H203" i="11"/>
  <c r="E150" i="11"/>
  <c r="F150" i="11"/>
  <c r="G150" i="11"/>
  <c r="L10" i="11"/>
  <c r="B121" i="11"/>
  <c r="B7" i="9"/>
  <c r="H36" i="11"/>
  <c r="H43" i="11"/>
  <c r="G49" i="11"/>
  <c r="H158" i="11"/>
  <c r="H106" i="11"/>
  <c r="H123" i="11"/>
  <c r="H132" i="11"/>
  <c r="H149" i="11"/>
  <c r="H175" i="11"/>
  <c r="H205" i="11"/>
  <c r="H64" i="11"/>
  <c r="N25" i="11"/>
  <c r="N33" i="11"/>
  <c r="N32" i="11"/>
  <c r="K156" i="11"/>
  <c r="K158" i="11"/>
  <c r="K175" i="11"/>
  <c r="K130" i="11"/>
  <c r="K62" i="11"/>
  <c r="K15" i="11"/>
  <c r="K104" i="11"/>
  <c r="J156" i="11"/>
  <c r="J130" i="11"/>
  <c r="J62" i="11"/>
  <c r="J15" i="11"/>
  <c r="J104" i="11"/>
  <c r="K157" i="11"/>
  <c r="K131" i="11"/>
  <c r="K63" i="11"/>
  <c r="K105" i="11"/>
  <c r="D253" i="11"/>
  <c r="H224" i="11"/>
  <c r="D228" i="11"/>
  <c r="D46" i="11"/>
  <c r="D52" i="11"/>
  <c r="I203" i="11"/>
  <c r="J157" i="11"/>
  <c r="J131" i="11"/>
  <c r="J63" i="11"/>
  <c r="J105" i="11"/>
  <c r="K203" i="11"/>
  <c r="I156" i="11"/>
  <c r="I130" i="11"/>
  <c r="I62" i="11"/>
  <c r="I15" i="11"/>
  <c r="I104" i="11"/>
  <c r="L129" i="11"/>
  <c r="L155" i="11"/>
  <c r="L87" i="11"/>
  <c r="L95" i="11"/>
  <c r="L61" i="11"/>
  <c r="O28" i="11"/>
  <c r="O29" i="11"/>
  <c r="O24" i="11"/>
  <c r="L14" i="11"/>
  <c r="L13" i="11"/>
  <c r="M10" i="11"/>
  <c r="L103" i="11"/>
  <c r="M25" i="11"/>
  <c r="M33" i="11"/>
  <c r="M32" i="11"/>
  <c r="I157" i="11"/>
  <c r="I131" i="11"/>
  <c r="I63" i="11"/>
  <c r="I105" i="11"/>
  <c r="L25" i="11"/>
  <c r="L33" i="11"/>
  <c r="L32" i="11"/>
  <c r="E50" i="11"/>
  <c r="E51" i="11"/>
  <c r="E45" i="11"/>
  <c r="J203" i="11"/>
  <c r="F37" i="11"/>
  <c r="H204" i="11"/>
  <c r="E98" i="11"/>
  <c r="F98" i="11"/>
  <c r="G98" i="11"/>
  <c r="H206" i="11"/>
  <c r="I36" i="11"/>
  <c r="I43" i="11"/>
  <c r="H49" i="11"/>
  <c r="I132" i="11"/>
  <c r="I149" i="11"/>
  <c r="I106" i="11"/>
  <c r="J158" i="11"/>
  <c r="J175" i="11"/>
  <c r="K106" i="11"/>
  <c r="K123" i="11"/>
  <c r="I204" i="11"/>
  <c r="I206" i="11"/>
  <c r="K204" i="11"/>
  <c r="J106" i="11"/>
  <c r="J123" i="11"/>
  <c r="K132" i="11"/>
  <c r="K149" i="11"/>
  <c r="I158" i="11"/>
  <c r="I175" i="11"/>
  <c r="K205" i="11"/>
  <c r="I205" i="11"/>
  <c r="J64" i="11"/>
  <c r="J97" i="11"/>
  <c r="J132" i="11"/>
  <c r="J149" i="11"/>
  <c r="I123" i="11"/>
  <c r="L156" i="11"/>
  <c r="L130" i="11"/>
  <c r="L62" i="11"/>
  <c r="L15" i="11"/>
  <c r="L104" i="11"/>
  <c r="H97" i="11"/>
  <c r="M155" i="11"/>
  <c r="M129" i="11"/>
  <c r="M61" i="11"/>
  <c r="M87" i="11"/>
  <c r="M95" i="11"/>
  <c r="M14" i="11"/>
  <c r="M13" i="11"/>
  <c r="P28" i="11"/>
  <c r="P29" i="11"/>
  <c r="P24" i="11"/>
  <c r="M103" i="11"/>
  <c r="N10" i="11"/>
  <c r="L157" i="11"/>
  <c r="L131" i="11"/>
  <c r="L63" i="11"/>
  <c r="L105" i="11"/>
  <c r="K64" i="11"/>
  <c r="K97" i="11"/>
  <c r="D229" i="11"/>
  <c r="D231" i="11"/>
  <c r="D247" i="11"/>
  <c r="O25" i="11"/>
  <c r="O33" i="11"/>
  <c r="O32" i="11"/>
  <c r="E228" i="11"/>
  <c r="E253" i="11"/>
  <c r="I224" i="11"/>
  <c r="E46" i="11"/>
  <c r="E52" i="11"/>
  <c r="D254" i="11"/>
  <c r="L203" i="11"/>
  <c r="J205" i="11"/>
  <c r="F44" i="11"/>
  <c r="G37" i="11"/>
  <c r="H176" i="11"/>
  <c r="H150" i="11"/>
  <c r="I64" i="11"/>
  <c r="I97" i="11"/>
  <c r="H124" i="11"/>
  <c r="J204" i="11"/>
  <c r="I49" i="11"/>
  <c r="J36" i="11"/>
  <c r="J43" i="11"/>
  <c r="L132" i="11"/>
  <c r="L149" i="11"/>
  <c r="K206" i="11"/>
  <c r="L64" i="11"/>
  <c r="L97" i="11"/>
  <c r="I124" i="11"/>
  <c r="J124" i="11"/>
  <c r="K124" i="11"/>
  <c r="L106" i="11"/>
  <c r="L123" i="11"/>
  <c r="J206" i="11"/>
  <c r="L158" i="11"/>
  <c r="L175" i="11"/>
  <c r="H98" i="11"/>
  <c r="I98" i="11"/>
  <c r="J98" i="11"/>
  <c r="K98" i="11"/>
  <c r="N129" i="11"/>
  <c r="N155" i="11"/>
  <c r="N61" i="11"/>
  <c r="N87" i="11"/>
  <c r="N95" i="11"/>
  <c r="Q28" i="11"/>
  <c r="Q29" i="11"/>
  <c r="Q24" i="11"/>
  <c r="N14" i="11"/>
  <c r="N13" i="11"/>
  <c r="N103" i="11"/>
  <c r="O10" i="11"/>
  <c r="D256" i="11"/>
  <c r="D248" i="11"/>
  <c r="P25" i="11"/>
  <c r="P33" i="11"/>
  <c r="P32" i="11"/>
  <c r="L204" i="11"/>
  <c r="M156" i="11"/>
  <c r="M130" i="11"/>
  <c r="M62" i="11"/>
  <c r="M15" i="11"/>
  <c r="M104" i="11"/>
  <c r="M157" i="11"/>
  <c r="M131" i="11"/>
  <c r="M63" i="11"/>
  <c r="M105" i="11"/>
  <c r="G44" i="11"/>
  <c r="H37" i="11"/>
  <c r="E254" i="11"/>
  <c r="M203" i="11"/>
  <c r="I176" i="11"/>
  <c r="J176" i="11"/>
  <c r="K176" i="11"/>
  <c r="F50" i="11"/>
  <c r="F51" i="11"/>
  <c r="F45" i="11"/>
  <c r="E229" i="11"/>
  <c r="E231" i="11"/>
  <c r="E247" i="11"/>
  <c r="L205" i="11"/>
  <c r="I150" i="11"/>
  <c r="J150" i="11"/>
  <c r="K150" i="11"/>
  <c r="C7" i="9"/>
  <c r="L124" i="11"/>
  <c r="J49" i="11"/>
  <c r="K36" i="11"/>
  <c r="K43" i="11"/>
  <c r="L206" i="11"/>
  <c r="L150" i="11"/>
  <c r="L98" i="11"/>
  <c r="M64" i="11"/>
  <c r="M158" i="11"/>
  <c r="M132" i="11"/>
  <c r="M149" i="11"/>
  <c r="M106" i="11"/>
  <c r="M123" i="11"/>
  <c r="M97" i="11"/>
  <c r="M175" i="11"/>
  <c r="Q25" i="11"/>
  <c r="Q33" i="11"/>
  <c r="Q32" i="11"/>
  <c r="O155" i="11"/>
  <c r="O129" i="11"/>
  <c r="O61" i="11"/>
  <c r="O87" i="11"/>
  <c r="O95" i="11"/>
  <c r="R28" i="11"/>
  <c r="R29" i="11"/>
  <c r="R24" i="11"/>
  <c r="P10" i="11"/>
  <c r="O14" i="11"/>
  <c r="O13" i="11"/>
  <c r="O103" i="11"/>
  <c r="N156" i="11"/>
  <c r="N130" i="11"/>
  <c r="N62" i="11"/>
  <c r="N15" i="11"/>
  <c r="N104" i="11"/>
  <c r="M205" i="11"/>
  <c r="N157" i="11"/>
  <c r="N131" i="11"/>
  <c r="N63" i="11"/>
  <c r="N105" i="11"/>
  <c r="E248" i="11"/>
  <c r="E256" i="11"/>
  <c r="H44" i="11"/>
  <c r="I37" i="11"/>
  <c r="N203" i="11"/>
  <c r="G45" i="11"/>
  <c r="G50" i="11"/>
  <c r="G51" i="11"/>
  <c r="D257" i="11"/>
  <c r="D259" i="11"/>
  <c r="F228" i="11"/>
  <c r="F253" i="11"/>
  <c r="J224" i="11"/>
  <c r="F46" i="11"/>
  <c r="F52" i="11"/>
  <c r="M204" i="11"/>
  <c r="L176" i="11"/>
  <c r="B8" i="9"/>
  <c r="B12" i="9"/>
  <c r="K49" i="11"/>
  <c r="L36" i="11"/>
  <c r="L43" i="11"/>
  <c r="N205" i="11"/>
  <c r="N106" i="11"/>
  <c r="N123" i="11"/>
  <c r="N158" i="11"/>
  <c r="N175" i="11"/>
  <c r="M206" i="11"/>
  <c r="N132" i="11"/>
  <c r="N149" i="11"/>
  <c r="B13" i="9"/>
  <c r="B19" i="9"/>
  <c r="B20" i="9"/>
  <c r="O156" i="11"/>
  <c r="O130" i="11"/>
  <c r="O62" i="11"/>
  <c r="O15" i="11"/>
  <c r="O104" i="11"/>
  <c r="P155" i="11"/>
  <c r="P129" i="11"/>
  <c r="P61" i="11"/>
  <c r="P87" i="11"/>
  <c r="P95" i="11"/>
  <c r="S28" i="11"/>
  <c r="S29" i="11"/>
  <c r="S24" i="11"/>
  <c r="P14" i="11"/>
  <c r="P13" i="11"/>
  <c r="P103" i="11"/>
  <c r="Q10" i="11"/>
  <c r="R25" i="11"/>
  <c r="R33" i="11"/>
  <c r="R32" i="11"/>
  <c r="M124" i="11"/>
  <c r="F254" i="11"/>
  <c r="M176" i="11"/>
  <c r="I44" i="11"/>
  <c r="J37" i="11"/>
  <c r="O157" i="11"/>
  <c r="O131" i="11"/>
  <c r="O63" i="11"/>
  <c r="O105" i="11"/>
  <c r="H50" i="11"/>
  <c r="H51" i="11"/>
  <c r="H45" i="11"/>
  <c r="O203" i="11"/>
  <c r="D260" i="11"/>
  <c r="M98" i="11"/>
  <c r="N64" i="11"/>
  <c r="N97" i="11"/>
  <c r="K224" i="11"/>
  <c r="G253" i="11"/>
  <c r="G228" i="11"/>
  <c r="G46" i="11"/>
  <c r="G52" i="11"/>
  <c r="F229" i="11"/>
  <c r="F231" i="11"/>
  <c r="F247" i="11"/>
  <c r="N204" i="11"/>
  <c r="E257" i="11"/>
  <c r="E259" i="11"/>
  <c r="M150" i="11"/>
  <c r="N206" i="11"/>
  <c r="N150" i="11"/>
  <c r="N124" i="11"/>
  <c r="L49" i="11"/>
  <c r="M36" i="11"/>
  <c r="M43" i="11"/>
  <c r="N176" i="11"/>
  <c r="O132" i="11"/>
  <c r="O149" i="11"/>
  <c r="O150" i="11"/>
  <c r="O106" i="11"/>
  <c r="O123" i="11"/>
  <c r="O124" i="11"/>
  <c r="O205" i="11"/>
  <c r="O158" i="11"/>
  <c r="O175" i="11"/>
  <c r="O176" i="11"/>
  <c r="N98" i="11"/>
  <c r="F256" i="11"/>
  <c r="F248" i="11"/>
  <c r="Q155" i="11"/>
  <c r="Q129" i="11"/>
  <c r="Q87" i="11"/>
  <c r="Q95" i="11"/>
  <c r="T28" i="11"/>
  <c r="T29" i="11"/>
  <c r="Q61" i="11"/>
  <c r="Q14" i="11"/>
  <c r="Q13" i="11"/>
  <c r="T24" i="11"/>
  <c r="Q103" i="11"/>
  <c r="R10" i="11"/>
  <c r="O204" i="11"/>
  <c r="J44" i="11"/>
  <c r="K37" i="11"/>
  <c r="P157" i="11"/>
  <c r="P131" i="11"/>
  <c r="P63" i="11"/>
  <c r="P105" i="11"/>
  <c r="I50" i="11"/>
  <c r="I51" i="11"/>
  <c r="I45" i="11"/>
  <c r="E260" i="11"/>
  <c r="E261" i="11"/>
  <c r="G229" i="11"/>
  <c r="G247" i="11"/>
  <c r="G231" i="11"/>
  <c r="S25" i="11"/>
  <c r="S33" i="11"/>
  <c r="S32" i="11"/>
  <c r="P156" i="11"/>
  <c r="P130" i="11"/>
  <c r="P132" i="11"/>
  <c r="P149" i="11"/>
  <c r="P15" i="11"/>
  <c r="P62" i="11"/>
  <c r="P104" i="11"/>
  <c r="G254" i="11"/>
  <c r="O64" i="11"/>
  <c r="O97" i="11"/>
  <c r="D261" i="11"/>
  <c r="H253" i="11"/>
  <c r="H223" i="11"/>
  <c r="H225" i="11"/>
  <c r="H228" i="11"/>
  <c r="H46" i="11"/>
  <c r="H52" i="11"/>
  <c r="P203" i="11"/>
  <c r="D7" i="9"/>
  <c r="B22" i="9"/>
  <c r="P158" i="11"/>
  <c r="P175" i="11"/>
  <c r="M49" i="11"/>
  <c r="N36" i="11"/>
  <c r="N43" i="11"/>
  <c r="P64" i="11"/>
  <c r="P97" i="11"/>
  <c r="P150" i="11"/>
  <c r="P106" i="11"/>
  <c r="P123" i="11"/>
  <c r="P124" i="11"/>
  <c r="O206" i="11"/>
  <c r="P176" i="11"/>
  <c r="B24" i="9"/>
  <c r="B27" i="9"/>
  <c r="B28" i="9"/>
  <c r="H229" i="11"/>
  <c r="H226" i="11"/>
  <c r="H231" i="11"/>
  <c r="H247" i="11"/>
  <c r="P205" i="11"/>
  <c r="Q203" i="11"/>
  <c r="F257" i="11"/>
  <c r="F259" i="11"/>
  <c r="G256" i="11"/>
  <c r="G248" i="11"/>
  <c r="J45" i="11"/>
  <c r="J50" i="11"/>
  <c r="J51" i="11"/>
  <c r="K44" i="11"/>
  <c r="L37" i="11"/>
  <c r="O98" i="11"/>
  <c r="R155" i="11"/>
  <c r="R129" i="11"/>
  <c r="R87" i="11"/>
  <c r="R95" i="11"/>
  <c r="R61" i="11"/>
  <c r="U28" i="11"/>
  <c r="U29" i="11"/>
  <c r="U24" i="11"/>
  <c r="R14" i="11"/>
  <c r="R13" i="11"/>
  <c r="S10" i="11"/>
  <c r="R103" i="11"/>
  <c r="I253" i="11"/>
  <c r="I223" i="11"/>
  <c r="I225" i="11"/>
  <c r="I228" i="11"/>
  <c r="I46" i="11"/>
  <c r="I52" i="11"/>
  <c r="T25" i="11"/>
  <c r="T33" i="11"/>
  <c r="T32" i="11"/>
  <c r="Q157" i="11"/>
  <c r="Q131" i="11"/>
  <c r="Q63" i="11"/>
  <c r="Q105" i="11"/>
  <c r="H254" i="11"/>
  <c r="P204" i="11"/>
  <c r="Q156" i="11"/>
  <c r="Q130" i="11"/>
  <c r="Q15" i="11"/>
  <c r="Q62" i="11"/>
  <c r="Q104" i="11"/>
  <c r="C8" i="9"/>
  <c r="C12" i="9"/>
  <c r="Q106" i="11"/>
  <c r="Q123" i="11"/>
  <c r="N49" i="11"/>
  <c r="O36" i="11"/>
  <c r="O43" i="11"/>
  <c r="P98" i="11"/>
  <c r="Q124" i="11"/>
  <c r="Q64" i="11"/>
  <c r="Q97" i="11"/>
  <c r="P206" i="11"/>
  <c r="Q132" i="11"/>
  <c r="Q149" i="11"/>
  <c r="Q150" i="11"/>
  <c r="Q158" i="11"/>
  <c r="Q175" i="11"/>
  <c r="Q176" i="11"/>
  <c r="Q205" i="11"/>
  <c r="C19" i="9"/>
  <c r="C20" i="9"/>
  <c r="C13" i="9"/>
  <c r="H256" i="11"/>
  <c r="H248" i="11"/>
  <c r="I229" i="11"/>
  <c r="I226" i="11"/>
  <c r="I231" i="11"/>
  <c r="I247" i="11"/>
  <c r="F260" i="11"/>
  <c r="I254" i="11"/>
  <c r="J253" i="11"/>
  <c r="J223" i="11"/>
  <c r="J225" i="11"/>
  <c r="J228" i="11"/>
  <c r="J46" i="11"/>
  <c r="J52" i="11"/>
  <c r="L44" i="11"/>
  <c r="M37" i="11"/>
  <c r="R131" i="11"/>
  <c r="R157" i="11"/>
  <c r="R63" i="11"/>
  <c r="R105" i="11"/>
  <c r="U25" i="11"/>
  <c r="U33" i="11"/>
  <c r="U32" i="11"/>
  <c r="R203" i="11"/>
  <c r="G257" i="11"/>
  <c r="G259" i="11"/>
  <c r="Q204" i="11"/>
  <c r="Q206" i="11"/>
  <c r="S155" i="11"/>
  <c r="S129" i="11"/>
  <c r="S87" i="11"/>
  <c r="S95" i="11"/>
  <c r="S61" i="11"/>
  <c r="V28" i="11"/>
  <c r="V29" i="11"/>
  <c r="V24" i="11"/>
  <c r="S14" i="11"/>
  <c r="S13" i="11"/>
  <c r="T10" i="11"/>
  <c r="S103" i="11"/>
  <c r="K50" i="11"/>
  <c r="K51" i="11"/>
  <c r="K45" i="11"/>
  <c r="R156" i="11"/>
  <c r="R130" i="11"/>
  <c r="R62" i="11"/>
  <c r="R15" i="11"/>
  <c r="R104" i="11"/>
  <c r="O49" i="11"/>
  <c r="P36" i="11"/>
  <c r="P43" i="11"/>
  <c r="Q98" i="11"/>
  <c r="R106" i="11"/>
  <c r="R123" i="11"/>
  <c r="R124" i="11"/>
  <c r="R205" i="11"/>
  <c r="R158" i="11"/>
  <c r="R175" i="11"/>
  <c r="R176" i="11"/>
  <c r="R132" i="11"/>
  <c r="R149" i="11"/>
  <c r="R150" i="11"/>
  <c r="G260" i="11"/>
  <c r="G261" i="11"/>
  <c r="J229" i="11"/>
  <c r="J226" i="11"/>
  <c r="J247" i="11"/>
  <c r="J231" i="11"/>
  <c r="R204" i="11"/>
  <c r="J254" i="11"/>
  <c r="V25" i="11"/>
  <c r="V33" i="11"/>
  <c r="V32" i="11"/>
  <c r="M44" i="11"/>
  <c r="N37" i="11"/>
  <c r="H257" i="11"/>
  <c r="H259" i="11"/>
  <c r="K228" i="11"/>
  <c r="K223" i="11"/>
  <c r="K225" i="11"/>
  <c r="K253" i="11"/>
  <c r="K46" i="11"/>
  <c r="K52" i="11"/>
  <c r="L50" i="11"/>
  <c r="L51" i="11"/>
  <c r="L45" i="11"/>
  <c r="F261" i="11"/>
  <c r="S131" i="11"/>
  <c r="S157" i="11"/>
  <c r="S63" i="11"/>
  <c r="S105" i="11"/>
  <c r="S203" i="11"/>
  <c r="I256" i="11"/>
  <c r="I248" i="11"/>
  <c r="T129" i="11"/>
  <c r="T155" i="11"/>
  <c r="T87" i="11"/>
  <c r="T95" i="11"/>
  <c r="T61" i="11"/>
  <c r="W28" i="11"/>
  <c r="W29" i="11"/>
  <c r="W24" i="11"/>
  <c r="T14" i="11"/>
  <c r="T13" i="11"/>
  <c r="T103" i="11"/>
  <c r="U10" i="11"/>
  <c r="R64" i="11"/>
  <c r="R97" i="11"/>
  <c r="S156" i="11"/>
  <c r="S130" i="11"/>
  <c r="S62" i="11"/>
  <c r="S64" i="11"/>
  <c r="S97" i="11"/>
  <c r="S15" i="11"/>
  <c r="S104" i="11"/>
  <c r="C22" i="9"/>
  <c r="E7" i="9"/>
  <c r="S132" i="11"/>
  <c r="S149" i="11"/>
  <c r="S106" i="11"/>
  <c r="S123" i="11"/>
  <c r="S124" i="11"/>
  <c r="Q36" i="11"/>
  <c r="Q43" i="11"/>
  <c r="P49" i="11"/>
  <c r="S150" i="11"/>
  <c r="S158" i="11"/>
  <c r="S175" i="11"/>
  <c r="R206" i="11"/>
  <c r="S176" i="11"/>
  <c r="H260" i="11"/>
  <c r="H261" i="11"/>
  <c r="K229" i="11"/>
  <c r="C24" i="9"/>
  <c r="C27" i="9"/>
  <c r="C28" i="9"/>
  <c r="M50" i="11"/>
  <c r="M51" i="11"/>
  <c r="M45" i="11"/>
  <c r="R98" i="11"/>
  <c r="S98" i="11"/>
  <c r="I257" i="11"/>
  <c r="I259" i="11"/>
  <c r="U155" i="11"/>
  <c r="U87" i="11"/>
  <c r="U95" i="11"/>
  <c r="X28" i="11"/>
  <c r="X29" i="11"/>
  <c r="X24" i="11"/>
  <c r="U61" i="11"/>
  <c r="U14" i="11"/>
  <c r="U13" i="11"/>
  <c r="U129" i="11"/>
  <c r="U103" i="11"/>
  <c r="V10" i="11"/>
  <c r="L253" i="11"/>
  <c r="L228" i="11"/>
  <c r="L223" i="11"/>
  <c r="L225" i="11"/>
  <c r="L46" i="11"/>
  <c r="L52" i="11"/>
  <c r="T156" i="11"/>
  <c r="T130" i="11"/>
  <c r="T62" i="11"/>
  <c r="T15" i="11"/>
  <c r="T104" i="11"/>
  <c r="T157" i="11"/>
  <c r="T131" i="11"/>
  <c r="T63" i="11"/>
  <c r="T105" i="11"/>
  <c r="K226" i="11"/>
  <c r="K247" i="11"/>
  <c r="K231" i="11"/>
  <c r="K254" i="11"/>
  <c r="W25" i="11"/>
  <c r="W33" i="11"/>
  <c r="W32" i="11"/>
  <c r="T203" i="11"/>
  <c r="S205" i="11"/>
  <c r="S204" i="11"/>
  <c r="S206" i="11"/>
  <c r="N44" i="11"/>
  <c r="O37" i="11"/>
  <c r="J256" i="11"/>
  <c r="J248" i="11"/>
  <c r="D8" i="9"/>
  <c r="D12" i="9"/>
  <c r="Q49" i="11"/>
  <c r="R36" i="11"/>
  <c r="R43" i="11"/>
  <c r="T132" i="11"/>
  <c r="T149" i="11"/>
  <c r="T150" i="11"/>
  <c r="T158" i="11"/>
  <c r="T175" i="11"/>
  <c r="T176" i="11"/>
  <c r="T106" i="11"/>
  <c r="T123" i="11"/>
  <c r="T124" i="11"/>
  <c r="T64" i="11"/>
  <c r="T97" i="11"/>
  <c r="T98" i="11"/>
  <c r="I260" i="11"/>
  <c r="I261" i="11"/>
  <c r="L229" i="11"/>
  <c r="D19" i="9"/>
  <c r="D20" i="9"/>
  <c r="D13" i="9"/>
  <c r="X25" i="11"/>
  <c r="X33" i="11"/>
  <c r="X32" i="11"/>
  <c r="L226" i="11"/>
  <c r="L247" i="11"/>
  <c r="L231" i="11"/>
  <c r="T205" i="11"/>
  <c r="L254" i="11"/>
  <c r="K256" i="11"/>
  <c r="K248" i="11"/>
  <c r="J257" i="11"/>
  <c r="J259" i="11"/>
  <c r="O44" i="11"/>
  <c r="P37" i="11"/>
  <c r="V155" i="11"/>
  <c r="V129" i="11"/>
  <c r="V87" i="11"/>
  <c r="V95" i="11"/>
  <c r="V61" i="11"/>
  <c r="Y28" i="11"/>
  <c r="Y29" i="11"/>
  <c r="Y24" i="11"/>
  <c r="V13" i="11"/>
  <c r="V14" i="11"/>
  <c r="V103" i="11"/>
  <c r="W10" i="11"/>
  <c r="U203" i="11"/>
  <c r="N50" i="11"/>
  <c r="N51" i="11"/>
  <c r="N45" i="11"/>
  <c r="U156" i="11"/>
  <c r="U130" i="11"/>
  <c r="U62" i="11"/>
  <c r="U15" i="11"/>
  <c r="U104" i="11"/>
  <c r="M228" i="11"/>
  <c r="M223" i="11"/>
  <c r="M225" i="11"/>
  <c r="M253" i="11"/>
  <c r="M46" i="11"/>
  <c r="M52" i="11"/>
  <c r="T204" i="11"/>
  <c r="U157" i="11"/>
  <c r="U131" i="11"/>
  <c r="U63" i="11"/>
  <c r="U105" i="11"/>
  <c r="U106" i="11"/>
  <c r="U123" i="11"/>
  <c r="U124" i="11"/>
  <c r="R49" i="11"/>
  <c r="S36" i="11"/>
  <c r="S43" i="11"/>
  <c r="T206" i="11"/>
  <c r="U204" i="11"/>
  <c r="J260" i="11"/>
  <c r="J261" i="11"/>
  <c r="U132" i="11"/>
  <c r="U149" i="11"/>
  <c r="U150" i="11"/>
  <c r="U205" i="11"/>
  <c r="U158" i="11"/>
  <c r="U175" i="11"/>
  <c r="U176" i="11"/>
  <c r="M229" i="11"/>
  <c r="O45" i="11"/>
  <c r="O50" i="11"/>
  <c r="O51" i="11"/>
  <c r="L256" i="11"/>
  <c r="L248" i="11"/>
  <c r="M226" i="11"/>
  <c r="M231" i="11"/>
  <c r="M247" i="11"/>
  <c r="V156" i="11"/>
  <c r="V130" i="11"/>
  <c r="V15" i="11"/>
  <c r="V62" i="11"/>
  <c r="V104" i="11"/>
  <c r="V157" i="11"/>
  <c r="V131" i="11"/>
  <c r="V63" i="11"/>
  <c r="V105" i="11"/>
  <c r="Y25" i="11"/>
  <c r="Y33" i="11"/>
  <c r="Y32" i="11"/>
  <c r="N253" i="11"/>
  <c r="N223" i="11"/>
  <c r="N225" i="11"/>
  <c r="N228" i="11"/>
  <c r="N46" i="11"/>
  <c r="N52" i="11"/>
  <c r="K257" i="11"/>
  <c r="K259" i="11"/>
  <c r="V203" i="11"/>
  <c r="P44" i="11"/>
  <c r="Q37" i="11"/>
  <c r="W155" i="11"/>
  <c r="W129" i="11"/>
  <c r="W87" i="11"/>
  <c r="W95" i="11"/>
  <c r="W61" i="11"/>
  <c r="Z28" i="11"/>
  <c r="Z29" i="11"/>
  <c r="Z24" i="11"/>
  <c r="W14" i="11"/>
  <c r="W13" i="11"/>
  <c r="W103" i="11"/>
  <c r="X10" i="11"/>
  <c r="U64" i="11"/>
  <c r="U97" i="11"/>
  <c r="M254" i="11"/>
  <c r="D22" i="9"/>
  <c r="F7" i="9"/>
  <c r="H7" i="9"/>
  <c r="U206" i="11"/>
  <c r="S49" i="11"/>
  <c r="T36" i="11"/>
  <c r="T43" i="11"/>
  <c r="V106" i="11"/>
  <c r="V123" i="11"/>
  <c r="V124" i="11"/>
  <c r="V205" i="11"/>
  <c r="K260" i="11"/>
  <c r="K261" i="11"/>
  <c r="V64" i="11"/>
  <c r="V97" i="11"/>
  <c r="V158" i="11"/>
  <c r="V175" i="11"/>
  <c r="V176" i="11"/>
  <c r="V132" i="11"/>
  <c r="V149" i="11"/>
  <c r="V150" i="11"/>
  <c r="N229" i="11"/>
  <c r="D24" i="9"/>
  <c r="D27" i="9"/>
  <c r="D28" i="9"/>
  <c r="N226" i="11"/>
  <c r="N231" i="11"/>
  <c r="N247" i="11"/>
  <c r="Q44" i="11"/>
  <c r="R37" i="11"/>
  <c r="N254" i="11"/>
  <c r="M256" i="11"/>
  <c r="M248" i="11"/>
  <c r="P45" i="11"/>
  <c r="P50" i="11"/>
  <c r="P51" i="11"/>
  <c r="W157" i="11"/>
  <c r="W131" i="11"/>
  <c r="W63" i="11"/>
  <c r="W205" i="11"/>
  <c r="W105" i="11"/>
  <c r="L257" i="11"/>
  <c r="L259" i="11"/>
  <c r="U98" i="11"/>
  <c r="Z25" i="11"/>
  <c r="Z33" i="11"/>
  <c r="Z32" i="11"/>
  <c r="X155" i="11"/>
  <c r="X87" i="11"/>
  <c r="X95" i="11"/>
  <c r="X61" i="11"/>
  <c r="AA28" i="11"/>
  <c r="AA29" i="11"/>
  <c r="AA24" i="11"/>
  <c r="X14" i="11"/>
  <c r="X13" i="11"/>
  <c r="X129" i="11"/>
  <c r="X103" i="11"/>
  <c r="Y10" i="11"/>
  <c r="O253" i="11"/>
  <c r="O228" i="11"/>
  <c r="O223" i="11"/>
  <c r="O225" i="11"/>
  <c r="O46" i="11"/>
  <c r="O52" i="11"/>
  <c r="W156" i="11"/>
  <c r="W130" i="11"/>
  <c r="W62" i="11"/>
  <c r="W15" i="11"/>
  <c r="W104" i="11"/>
  <c r="W106" i="11"/>
  <c r="W123" i="11"/>
  <c r="W203" i="11"/>
  <c r="V204" i="11"/>
  <c r="E8" i="9"/>
  <c r="E12" i="9"/>
  <c r="V206" i="11"/>
  <c r="T49" i="11"/>
  <c r="U36" i="11"/>
  <c r="U43" i="11"/>
  <c r="W124" i="11"/>
  <c r="W132" i="11"/>
  <c r="W149" i="11"/>
  <c r="W150" i="11"/>
  <c r="W158" i="11"/>
  <c r="W175" i="11"/>
  <c r="W176" i="11"/>
  <c r="V98" i="11"/>
  <c r="L260" i="11"/>
  <c r="L261" i="11"/>
  <c r="W204" i="11"/>
  <c r="W206" i="11"/>
  <c r="O229" i="11"/>
  <c r="E19" i="9"/>
  <c r="E20" i="9"/>
  <c r="E13" i="9"/>
  <c r="AA25" i="11"/>
  <c r="AA33" i="11"/>
  <c r="AA32" i="11"/>
  <c r="R44" i="11"/>
  <c r="S37" i="11"/>
  <c r="X157" i="11"/>
  <c r="X131" i="11"/>
  <c r="X63" i="11"/>
  <c r="X105" i="11"/>
  <c r="Q45" i="11"/>
  <c r="Q50" i="11"/>
  <c r="Q51" i="11"/>
  <c r="W64" i="11"/>
  <c r="W97" i="11"/>
  <c r="Y155" i="11"/>
  <c r="Y61" i="11"/>
  <c r="Y129" i="11"/>
  <c r="Y87" i="11"/>
  <c r="Y95" i="11"/>
  <c r="Y14" i="11"/>
  <c r="Y13" i="11"/>
  <c r="AB28" i="11"/>
  <c r="AB29" i="11"/>
  <c r="AB24" i="11"/>
  <c r="Z10" i="11"/>
  <c r="Y103" i="11"/>
  <c r="N256" i="11"/>
  <c r="N248" i="11"/>
  <c r="O226" i="11"/>
  <c r="O231" i="11"/>
  <c r="O247" i="11"/>
  <c r="O254" i="11"/>
  <c r="X203" i="11"/>
  <c r="P253" i="11"/>
  <c r="P228" i="11"/>
  <c r="P223" i="11"/>
  <c r="P225" i="11"/>
  <c r="P46" i="11"/>
  <c r="P52" i="11"/>
  <c r="M257" i="11"/>
  <c r="M259" i="11"/>
  <c r="X156" i="11"/>
  <c r="X130" i="11"/>
  <c r="X62" i="11"/>
  <c r="X15" i="11"/>
  <c r="X104" i="11"/>
  <c r="U49" i="11"/>
  <c r="V36" i="11"/>
  <c r="V43" i="11"/>
  <c r="P229" i="11"/>
  <c r="M260" i="11"/>
  <c r="M261" i="11"/>
  <c r="X132" i="11"/>
  <c r="X149" i="11"/>
  <c r="X150" i="11"/>
  <c r="X158" i="11"/>
  <c r="X175" i="11"/>
  <c r="X176" i="11"/>
  <c r="X106" i="11"/>
  <c r="X123" i="11"/>
  <c r="X124" i="11"/>
  <c r="X205" i="11"/>
  <c r="AB25" i="11"/>
  <c r="AB33" i="11"/>
  <c r="AB32" i="11"/>
  <c r="Y130" i="11"/>
  <c r="Y156" i="11"/>
  <c r="Y62" i="11"/>
  <c r="Y15" i="11"/>
  <c r="Y104" i="11"/>
  <c r="O256" i="11"/>
  <c r="O248" i="11"/>
  <c r="R50" i="11"/>
  <c r="R51" i="11"/>
  <c r="R45" i="11"/>
  <c r="S44" i="11"/>
  <c r="T37" i="11"/>
  <c r="Z155" i="11"/>
  <c r="Z129" i="11"/>
  <c r="Z61" i="11"/>
  <c r="AC28" i="11"/>
  <c r="AC29" i="11"/>
  <c r="AC24" i="11"/>
  <c r="Z87" i="11"/>
  <c r="Z95" i="11"/>
  <c r="Z13" i="11"/>
  <c r="Z14" i="11"/>
  <c r="Z103" i="11"/>
  <c r="AA10" i="11"/>
  <c r="Y203" i="11"/>
  <c r="Y157" i="11"/>
  <c r="Y131" i="11"/>
  <c r="Y63" i="11"/>
  <c r="Y105" i="11"/>
  <c r="Y106" i="11"/>
  <c r="Y123" i="11"/>
  <c r="Y124" i="11"/>
  <c r="N257" i="11"/>
  <c r="N259" i="11"/>
  <c r="W98" i="11"/>
  <c r="P226" i="11"/>
  <c r="P247" i="11"/>
  <c r="P231" i="11"/>
  <c r="P254" i="11"/>
  <c r="X204" i="11"/>
  <c r="X64" i="11"/>
  <c r="X97" i="11"/>
  <c r="Q228" i="11"/>
  <c r="Q253" i="11"/>
  <c r="Q223" i="11"/>
  <c r="Q225" i="11"/>
  <c r="Q46" i="11"/>
  <c r="Q52" i="11"/>
  <c r="E22" i="9"/>
  <c r="Y158" i="11"/>
  <c r="Y175" i="11"/>
  <c r="Y176" i="11"/>
  <c r="V49" i="11"/>
  <c r="W36" i="11"/>
  <c r="W43" i="11"/>
  <c r="Y205" i="11"/>
  <c r="Y132" i="11"/>
  <c r="Y149" i="11"/>
  <c r="Y150" i="11"/>
  <c r="X206" i="11"/>
  <c r="Q229" i="11"/>
  <c r="N260" i="11"/>
  <c r="N261" i="11"/>
  <c r="Y204" i="11"/>
  <c r="Y206" i="11"/>
  <c r="E24" i="9"/>
  <c r="E27" i="9"/>
  <c r="E28" i="9"/>
  <c r="Z157" i="11"/>
  <c r="Z131" i="11"/>
  <c r="Z63" i="11"/>
  <c r="Z105" i="11"/>
  <c r="Z156" i="11"/>
  <c r="Z130" i="11"/>
  <c r="Z62" i="11"/>
  <c r="Z15" i="11"/>
  <c r="Z104" i="11"/>
  <c r="O257" i="11"/>
  <c r="O259" i="11"/>
  <c r="AA155" i="11"/>
  <c r="AA129" i="11"/>
  <c r="AA61" i="11"/>
  <c r="AD28" i="11"/>
  <c r="AD29" i="11"/>
  <c r="AD24" i="11"/>
  <c r="AA87" i="11"/>
  <c r="AA95" i="11"/>
  <c r="AB10" i="11"/>
  <c r="AA14" i="11"/>
  <c r="AA13" i="11"/>
  <c r="AA103" i="11"/>
  <c r="X98" i="11"/>
  <c r="AC25" i="11"/>
  <c r="AC33" i="11"/>
  <c r="AC32" i="11"/>
  <c r="Q254" i="11"/>
  <c r="R228" i="11"/>
  <c r="R253" i="11"/>
  <c r="R223" i="11"/>
  <c r="R225" i="11"/>
  <c r="R46" i="11"/>
  <c r="R52" i="11"/>
  <c r="Z203" i="11"/>
  <c r="P256" i="11"/>
  <c r="P248" i="11"/>
  <c r="Y64" i="11"/>
  <c r="Y97" i="11"/>
  <c r="Q226" i="11"/>
  <c r="Q247" i="11"/>
  <c r="Q231" i="11"/>
  <c r="T44" i="11"/>
  <c r="U37" i="11"/>
  <c r="S45" i="11"/>
  <c r="S50" i="11"/>
  <c r="S51" i="11"/>
  <c r="F12" i="9"/>
  <c r="H8" i="9"/>
  <c r="H12" i="9"/>
  <c r="F8" i="9"/>
  <c r="W49" i="11"/>
  <c r="X36" i="11"/>
  <c r="X43" i="11"/>
  <c r="R229" i="11"/>
  <c r="Z158" i="11"/>
  <c r="Z175" i="11"/>
  <c r="Z176" i="11"/>
  <c r="Z132" i="11"/>
  <c r="Z149" i="11"/>
  <c r="Z150" i="11"/>
  <c r="Z64" i="11"/>
  <c r="Z97" i="11"/>
  <c r="O260" i="11"/>
  <c r="O261" i="11"/>
  <c r="Z205" i="11"/>
  <c r="Z106" i="11"/>
  <c r="Z123" i="11"/>
  <c r="Z124" i="11"/>
  <c r="F19" i="9"/>
  <c r="F20" i="9"/>
  <c r="F13" i="9"/>
  <c r="H13" i="9"/>
  <c r="H19" i="9"/>
  <c r="AA156" i="11"/>
  <c r="AA130" i="11"/>
  <c r="AA62" i="11"/>
  <c r="AA15" i="11"/>
  <c r="AA104" i="11"/>
  <c r="AA157" i="11"/>
  <c r="AA131" i="11"/>
  <c r="AA63" i="11"/>
  <c r="AA105" i="11"/>
  <c r="Z204" i="11"/>
  <c r="Z206" i="11"/>
  <c r="R254" i="11"/>
  <c r="U44" i="11"/>
  <c r="V37" i="11"/>
  <c r="AD25" i="11"/>
  <c r="AD33" i="11"/>
  <c r="AD32" i="11"/>
  <c r="T50" i="11"/>
  <c r="T51" i="11"/>
  <c r="T45" i="11"/>
  <c r="Y98" i="11"/>
  <c r="Q248" i="11"/>
  <c r="Q256" i="11"/>
  <c r="AA203" i="11"/>
  <c r="R226" i="11"/>
  <c r="R247" i="11"/>
  <c r="R231" i="11"/>
  <c r="P257" i="11"/>
  <c r="P259" i="11"/>
  <c r="AB155" i="11"/>
  <c r="AB129" i="11"/>
  <c r="AB61" i="11"/>
  <c r="AE28" i="11"/>
  <c r="AE29" i="11"/>
  <c r="AE24" i="11"/>
  <c r="AB87" i="11"/>
  <c r="AB95" i="11"/>
  <c r="AB14" i="11"/>
  <c r="AB13" i="11"/>
  <c r="AB103" i="11"/>
  <c r="AC10" i="11"/>
  <c r="S228" i="11"/>
  <c r="S253" i="11"/>
  <c r="S223" i="11"/>
  <c r="S225" i="11"/>
  <c r="S46" i="11"/>
  <c r="S52" i="11"/>
  <c r="Z98" i="11"/>
  <c r="X49" i="11"/>
  <c r="Y36" i="11"/>
  <c r="Z36" i="11"/>
  <c r="AA36" i="11"/>
  <c r="H20" i="9"/>
  <c r="S229" i="11"/>
  <c r="AA158" i="11"/>
  <c r="AA175" i="11"/>
  <c r="AA176" i="11"/>
  <c r="AA106" i="11"/>
  <c r="AA123" i="11"/>
  <c r="AA124" i="11"/>
  <c r="AA204" i="11"/>
  <c r="AA132" i="11"/>
  <c r="AA149" i="11"/>
  <c r="AA150" i="11"/>
  <c r="P260" i="11"/>
  <c r="P261" i="11"/>
  <c r="AE25" i="11"/>
  <c r="AE33" i="11"/>
  <c r="AE32" i="11"/>
  <c r="AA64" i="11"/>
  <c r="AA97" i="11"/>
  <c r="V44" i="11"/>
  <c r="W37" i="11"/>
  <c r="AB157" i="11"/>
  <c r="AB131" i="11"/>
  <c r="AB63" i="11"/>
  <c r="AB105" i="11"/>
  <c r="S226" i="11"/>
  <c r="S247" i="11"/>
  <c r="S231" i="11"/>
  <c r="U50" i="11"/>
  <c r="U51" i="11"/>
  <c r="U45" i="11"/>
  <c r="AB203" i="11"/>
  <c r="Q257" i="11"/>
  <c r="Q259" i="11"/>
  <c r="S254" i="11"/>
  <c r="AA205" i="11"/>
  <c r="AC155" i="11"/>
  <c r="AC129" i="11"/>
  <c r="AF28" i="11"/>
  <c r="AF29" i="11"/>
  <c r="AF24" i="11"/>
  <c r="AC87" i="11"/>
  <c r="AC95" i="11"/>
  <c r="AC61" i="11"/>
  <c r="AC14" i="11"/>
  <c r="AC13" i="11"/>
  <c r="AD10" i="11"/>
  <c r="AC103" i="11"/>
  <c r="T253" i="11"/>
  <c r="T228" i="11"/>
  <c r="T223" i="11"/>
  <c r="T225" i="11"/>
  <c r="T46" i="11"/>
  <c r="T52" i="11"/>
  <c r="AB156" i="11"/>
  <c r="AB130" i="11"/>
  <c r="AB15" i="11"/>
  <c r="AB62" i="11"/>
  <c r="AB104" i="11"/>
  <c r="R256" i="11"/>
  <c r="R248" i="11"/>
  <c r="F22" i="9"/>
  <c r="H22" i="9"/>
  <c r="AA206" i="11"/>
  <c r="Z43" i="11"/>
  <c r="Y43" i="11"/>
  <c r="Y49" i="11"/>
  <c r="T229" i="11"/>
  <c r="AB205" i="11"/>
  <c r="AB204" i="11"/>
  <c r="AB206" i="11"/>
  <c r="Q260" i="11"/>
  <c r="Q261" i="11"/>
  <c r="AB106" i="11"/>
  <c r="AB123" i="11"/>
  <c r="AB124" i="11"/>
  <c r="AB132" i="11"/>
  <c r="AB149" i="11"/>
  <c r="AB150" i="11"/>
  <c r="AB158" i="11"/>
  <c r="AB175" i="11"/>
  <c r="AB176" i="11"/>
  <c r="AA43" i="11"/>
  <c r="AB36" i="11"/>
  <c r="F24" i="9"/>
  <c r="F27" i="9"/>
  <c r="F28" i="9"/>
  <c r="H24" i="9"/>
  <c r="H27" i="9"/>
  <c r="AD155" i="11"/>
  <c r="AD129" i="11"/>
  <c r="AD87" i="11"/>
  <c r="AD95" i="11"/>
  <c r="AG28" i="11"/>
  <c r="AG29" i="11"/>
  <c r="AG24" i="11"/>
  <c r="AD61" i="11"/>
  <c r="AD14" i="11"/>
  <c r="AD13" i="11"/>
  <c r="AE10" i="11"/>
  <c r="AD103" i="11"/>
  <c r="S256" i="11"/>
  <c r="S248" i="11"/>
  <c r="AF25" i="11"/>
  <c r="AF33" i="11"/>
  <c r="AF32" i="11"/>
  <c r="AB64" i="11"/>
  <c r="AB97" i="11"/>
  <c r="W44" i="11"/>
  <c r="X37" i="11"/>
  <c r="AC156" i="11"/>
  <c r="AC130" i="11"/>
  <c r="AC62" i="11"/>
  <c r="AC15" i="11"/>
  <c r="AC104" i="11"/>
  <c r="T226" i="11"/>
  <c r="T247" i="11"/>
  <c r="T231" i="11"/>
  <c r="V45" i="11"/>
  <c r="V50" i="11"/>
  <c r="V51" i="11"/>
  <c r="AC131" i="11"/>
  <c r="AC157" i="11"/>
  <c r="AC63" i="11"/>
  <c r="AC105" i="11"/>
  <c r="U253" i="11"/>
  <c r="U223" i="11"/>
  <c r="U225" i="11"/>
  <c r="U228" i="11"/>
  <c r="U46" i="11"/>
  <c r="U52" i="11"/>
  <c r="AA98" i="11"/>
  <c r="R257" i="11"/>
  <c r="R259" i="11"/>
  <c r="AC203" i="11"/>
  <c r="T254" i="11"/>
  <c r="Z49" i="11"/>
  <c r="AA49" i="11"/>
  <c r="H28" i="9"/>
  <c r="U229" i="11"/>
  <c r="AC158" i="11"/>
  <c r="AC175" i="11"/>
  <c r="AC176" i="11"/>
  <c r="AC106" i="11"/>
  <c r="AC123" i="11"/>
  <c r="AC124" i="11"/>
  <c r="AC204" i="11"/>
  <c r="AC206" i="11"/>
  <c r="AC205" i="11"/>
  <c r="R260" i="11"/>
  <c r="R261" i="11"/>
  <c r="AC132" i="11"/>
  <c r="AC149" i="11"/>
  <c r="AC150" i="11"/>
  <c r="AB43" i="11"/>
  <c r="AC36" i="11"/>
  <c r="U226" i="11"/>
  <c r="U247" i="11"/>
  <c r="U231" i="11"/>
  <c r="AE155" i="11"/>
  <c r="AE129" i="11"/>
  <c r="AE87" i="11"/>
  <c r="AE95" i="11"/>
  <c r="AE14" i="11"/>
  <c r="AE13" i="11"/>
  <c r="AE61" i="11"/>
  <c r="AH28" i="11"/>
  <c r="AH29" i="11"/>
  <c r="AH24" i="11"/>
  <c r="AE103" i="11"/>
  <c r="AF10" i="11"/>
  <c r="S257" i="11"/>
  <c r="S259" i="11"/>
  <c r="AD130" i="11"/>
  <c r="AD156" i="11"/>
  <c r="AD62" i="11"/>
  <c r="AD15" i="11"/>
  <c r="AD104" i="11"/>
  <c r="AC64" i="11"/>
  <c r="AC97" i="11"/>
  <c r="AD131" i="11"/>
  <c r="AD157" i="11"/>
  <c r="AD63" i="11"/>
  <c r="AD64" i="11"/>
  <c r="AD97" i="11"/>
  <c r="AD105" i="11"/>
  <c r="X44" i="11"/>
  <c r="Y37" i="11"/>
  <c r="AD203" i="11"/>
  <c r="V253" i="11"/>
  <c r="V223" i="11"/>
  <c r="V225" i="11"/>
  <c r="V228" i="11"/>
  <c r="V46" i="11"/>
  <c r="V52" i="11"/>
  <c r="U254" i="11"/>
  <c r="W50" i="11"/>
  <c r="W51" i="11"/>
  <c r="W45" i="11"/>
  <c r="AB98" i="11"/>
  <c r="AG25" i="11"/>
  <c r="AG33" i="11"/>
  <c r="AG32" i="11"/>
  <c r="T256" i="11"/>
  <c r="T248" i="11"/>
  <c r="V229" i="11"/>
  <c r="AD158" i="11"/>
  <c r="AD175" i="11"/>
  <c r="AD176" i="11"/>
  <c r="AD106" i="11"/>
  <c r="AD123" i="11"/>
  <c r="AD124" i="11"/>
  <c r="S260" i="11"/>
  <c r="S261" i="11"/>
  <c r="AB49" i="11"/>
  <c r="AD132" i="11"/>
  <c r="AD149" i="11"/>
  <c r="AD150" i="11"/>
  <c r="AC43" i="11"/>
  <c r="AD36" i="11"/>
  <c r="AH25" i="11"/>
  <c r="AH33" i="11"/>
  <c r="AH32" i="11"/>
  <c r="AE203" i="11"/>
  <c r="T257" i="11"/>
  <c r="T259" i="11"/>
  <c r="V254" i="11"/>
  <c r="AE130" i="11"/>
  <c r="AE156" i="11"/>
  <c r="AE62" i="11"/>
  <c r="AE15" i="11"/>
  <c r="AE104" i="11"/>
  <c r="AE157" i="11"/>
  <c r="AE131" i="11"/>
  <c r="AE63" i="11"/>
  <c r="AE105" i="11"/>
  <c r="AE106" i="11"/>
  <c r="AE123" i="11"/>
  <c r="AE124" i="11"/>
  <c r="V226" i="11"/>
  <c r="V247" i="11"/>
  <c r="V231" i="11"/>
  <c r="Y44" i="11"/>
  <c r="Z37" i="11"/>
  <c r="AD204" i="11"/>
  <c r="X50" i="11"/>
  <c r="X51" i="11"/>
  <c r="X45" i="11"/>
  <c r="W228" i="11"/>
  <c r="W223" i="11"/>
  <c r="W225" i="11"/>
  <c r="W253" i="11"/>
  <c r="W46" i="11"/>
  <c r="W52" i="11"/>
  <c r="AD205" i="11"/>
  <c r="AC98" i="11"/>
  <c r="AD98" i="11"/>
  <c r="U256" i="11"/>
  <c r="U248" i="11"/>
  <c r="AF155" i="11"/>
  <c r="AF129" i="11"/>
  <c r="AF87" i="11"/>
  <c r="AF95" i="11"/>
  <c r="AF61" i="11"/>
  <c r="AF14" i="11"/>
  <c r="AF13" i="11"/>
  <c r="AI28" i="11"/>
  <c r="AI29" i="11"/>
  <c r="AI24" i="11"/>
  <c r="AG10" i="11"/>
  <c r="AF103" i="11"/>
  <c r="W229" i="11"/>
  <c r="AE205" i="11"/>
  <c r="AD206" i="11"/>
  <c r="AE158" i="11"/>
  <c r="AE175" i="11"/>
  <c r="AE176" i="11"/>
  <c r="AE132" i="11"/>
  <c r="AE149" i="11"/>
  <c r="AE150" i="11"/>
  <c r="T260" i="11"/>
  <c r="T261" i="11"/>
  <c r="AC49" i="11"/>
  <c r="AD43" i="11"/>
  <c r="AE36" i="11"/>
  <c r="Z44" i="11"/>
  <c r="AA37" i="11"/>
  <c r="AE204" i="11"/>
  <c r="AE206" i="11"/>
  <c r="W254" i="11"/>
  <c r="Y50" i="11"/>
  <c r="Y51" i="11"/>
  <c r="Y45" i="11"/>
  <c r="W226" i="11"/>
  <c r="W231" i="11"/>
  <c r="W247" i="11"/>
  <c r="V256" i="11"/>
  <c r="V248" i="11"/>
  <c r="AG155" i="11"/>
  <c r="AG129" i="11"/>
  <c r="AG87" i="11"/>
  <c r="AG95" i="11"/>
  <c r="AJ28" i="11"/>
  <c r="AJ29" i="11"/>
  <c r="AJ24" i="11"/>
  <c r="AG14" i="11"/>
  <c r="AG13" i="11"/>
  <c r="AG61" i="11"/>
  <c r="AG103" i="11"/>
  <c r="AH10" i="11"/>
  <c r="AE64" i="11"/>
  <c r="AE97" i="11"/>
  <c r="AF203" i="11"/>
  <c r="AI25" i="11"/>
  <c r="AI33" i="11"/>
  <c r="AI32" i="11"/>
  <c r="AF157" i="11"/>
  <c r="AF131" i="11"/>
  <c r="AF63" i="11"/>
  <c r="AF105" i="11"/>
  <c r="X253" i="11"/>
  <c r="X228" i="11"/>
  <c r="X223" i="11"/>
  <c r="X225" i="11"/>
  <c r="X46" i="11"/>
  <c r="X52" i="11"/>
  <c r="U257" i="11"/>
  <c r="U259" i="11"/>
  <c r="AF156" i="11"/>
  <c r="AF130" i="11"/>
  <c r="AF62" i="11"/>
  <c r="AF15" i="11"/>
  <c r="AF104" i="11"/>
  <c r="AF205" i="11"/>
  <c r="X229" i="11"/>
  <c r="AF106" i="11"/>
  <c r="AF123" i="11"/>
  <c r="AF124" i="11"/>
  <c r="AF158" i="11"/>
  <c r="AF175" i="11"/>
  <c r="AF176" i="11"/>
  <c r="U260" i="11"/>
  <c r="U261" i="11"/>
  <c r="AD49" i="11"/>
  <c r="AF204" i="11"/>
  <c r="AF206" i="11"/>
  <c r="AF132" i="11"/>
  <c r="AF149" i="11"/>
  <c r="AF150" i="11"/>
  <c r="AE43" i="11"/>
  <c r="AF36" i="11"/>
  <c r="AG157" i="11"/>
  <c r="AG131" i="11"/>
  <c r="AG63" i="11"/>
  <c r="AG105" i="11"/>
  <c r="AJ25" i="11"/>
  <c r="AJ33" i="11"/>
  <c r="AJ32" i="11"/>
  <c r="Y228" i="11"/>
  <c r="Y223" i="11"/>
  <c r="Y225" i="11"/>
  <c r="Y253" i="11"/>
  <c r="Y46" i="11"/>
  <c r="Y52" i="11"/>
  <c r="W256" i="11"/>
  <c r="W248" i="11"/>
  <c r="AG156" i="11"/>
  <c r="AG158" i="11"/>
  <c r="AG175" i="11"/>
  <c r="AG176" i="11"/>
  <c r="AG130" i="11"/>
  <c r="AG132" i="11"/>
  <c r="AG149" i="11"/>
  <c r="AG15" i="11"/>
  <c r="AG62" i="11"/>
  <c r="AG104" i="11"/>
  <c r="AF64" i="11"/>
  <c r="AF97" i="11"/>
  <c r="AG203" i="11"/>
  <c r="X226" i="11"/>
  <c r="X247" i="11"/>
  <c r="X231" i="11"/>
  <c r="AE98" i="11"/>
  <c r="AA44" i="11"/>
  <c r="AB37" i="11"/>
  <c r="AH155" i="11"/>
  <c r="AH129" i="11"/>
  <c r="AH87" i="11"/>
  <c r="AH95" i="11"/>
  <c r="AH61" i="11"/>
  <c r="AK28" i="11"/>
  <c r="AK29" i="11"/>
  <c r="AK24" i="11"/>
  <c r="AH14" i="11"/>
  <c r="AH13" i="11"/>
  <c r="AH103" i="11"/>
  <c r="AI10" i="11"/>
  <c r="V257" i="11"/>
  <c r="V259" i="11"/>
  <c r="Z50" i="11"/>
  <c r="Z51" i="11"/>
  <c r="Z45" i="11"/>
  <c r="X254" i="11"/>
  <c r="I7" i="9"/>
  <c r="AG204" i="11"/>
  <c r="Y229" i="11"/>
  <c r="AG106" i="11"/>
  <c r="AG123" i="11"/>
  <c r="AG124" i="11"/>
  <c r="V260" i="11"/>
  <c r="V261" i="11"/>
  <c r="AG150" i="11"/>
  <c r="AE49" i="11"/>
  <c r="AF43" i="11"/>
  <c r="AG36" i="11"/>
  <c r="Z253" i="11"/>
  <c r="Z223" i="11"/>
  <c r="Z225" i="11"/>
  <c r="Z228" i="11"/>
  <c r="Z46" i="11"/>
  <c r="Z52" i="11"/>
  <c r="W257" i="11"/>
  <c r="W259" i="11"/>
  <c r="AB44" i="11"/>
  <c r="AC37" i="11"/>
  <c r="Y254" i="11"/>
  <c r="AF98" i="11"/>
  <c r="AA45" i="11"/>
  <c r="AA50" i="11"/>
  <c r="AA51" i="11"/>
  <c r="Y226" i="11"/>
  <c r="Y247" i="11"/>
  <c r="Y231" i="11"/>
  <c r="AI155" i="11"/>
  <c r="AI129" i="11"/>
  <c r="AI87" i="11"/>
  <c r="AI95" i="11"/>
  <c r="AI61" i="11"/>
  <c r="AI14" i="11"/>
  <c r="AI13" i="11"/>
  <c r="AL24" i="11"/>
  <c r="AL28" i="11"/>
  <c r="AL29" i="11"/>
  <c r="AI103" i="11"/>
  <c r="AJ10" i="11"/>
  <c r="AH157" i="11"/>
  <c r="AH131" i="11"/>
  <c r="AH63" i="11"/>
  <c r="AH105" i="11"/>
  <c r="X256" i="11"/>
  <c r="X248" i="11"/>
  <c r="AK25" i="11"/>
  <c r="AK33" i="11"/>
  <c r="AK32" i="11"/>
  <c r="AG205" i="11"/>
  <c r="AG206" i="11"/>
  <c r="AH156" i="11"/>
  <c r="AH130" i="11"/>
  <c r="AH15" i="11"/>
  <c r="AH62" i="11"/>
  <c r="AH104" i="11"/>
  <c r="AG64" i="11"/>
  <c r="AG97" i="11"/>
  <c r="AH203" i="11"/>
  <c r="AH204" i="11"/>
  <c r="Z229" i="11"/>
  <c r="W260" i="11"/>
  <c r="W261" i="11"/>
  <c r="AH132" i="11"/>
  <c r="AH149" i="11"/>
  <c r="AH150" i="11"/>
  <c r="AH106" i="11"/>
  <c r="AH123" i="11"/>
  <c r="AH124" i="11"/>
  <c r="AH158" i="11"/>
  <c r="AH175" i="11"/>
  <c r="AH176" i="11"/>
  <c r="AF49" i="11"/>
  <c r="AG43" i="11"/>
  <c r="AH36" i="11"/>
  <c r="AI203" i="11"/>
  <c r="AI157" i="11"/>
  <c r="AI131" i="11"/>
  <c r="AI63" i="11"/>
  <c r="AI105" i="11"/>
  <c r="AC44" i="11"/>
  <c r="AD37" i="11"/>
  <c r="AB45" i="11"/>
  <c r="AB50" i="11"/>
  <c r="AB51" i="11"/>
  <c r="AH205" i="11"/>
  <c r="AH206" i="11"/>
  <c r="AJ129" i="11"/>
  <c r="AJ155" i="11"/>
  <c r="AJ87" i="11"/>
  <c r="AJ95" i="11"/>
  <c r="AJ61" i="11"/>
  <c r="AM28" i="11"/>
  <c r="AM29" i="11"/>
  <c r="AM24" i="11"/>
  <c r="AJ14" i="11"/>
  <c r="AJ13" i="11"/>
  <c r="AJ103" i="11"/>
  <c r="AK10" i="11"/>
  <c r="Y256" i="11"/>
  <c r="Y248" i="11"/>
  <c r="AG98" i="11"/>
  <c r="AH64" i="11"/>
  <c r="AH97" i="11"/>
  <c r="X257" i="11"/>
  <c r="X259" i="11"/>
  <c r="AL25" i="11"/>
  <c r="AL33" i="11"/>
  <c r="AL32" i="11"/>
  <c r="AA253" i="11"/>
  <c r="AA228" i="11"/>
  <c r="AA223" i="11"/>
  <c r="AA225" i="11"/>
  <c r="AA46" i="11"/>
  <c r="AA52" i="11"/>
  <c r="Z226" i="11"/>
  <c r="Z247" i="11"/>
  <c r="Z231" i="11"/>
  <c r="AI156" i="11"/>
  <c r="AI130" i="11"/>
  <c r="AI62" i="11"/>
  <c r="AI15" i="11"/>
  <c r="AI104" i="11"/>
  <c r="Z254" i="11"/>
  <c r="AI204" i="11"/>
  <c r="AI205" i="11"/>
  <c r="AI106" i="11"/>
  <c r="AI123" i="11"/>
  <c r="AI124" i="11"/>
  <c r="AA229" i="11"/>
  <c r="X260" i="11"/>
  <c r="X261" i="11"/>
  <c r="AG49" i="11"/>
  <c r="AI132" i="11"/>
  <c r="AI149" i="11"/>
  <c r="AI150" i="11"/>
  <c r="AI158" i="11"/>
  <c r="AI175" i="11"/>
  <c r="AI176" i="11"/>
  <c r="AH43" i="11"/>
  <c r="AI36" i="11"/>
  <c r="AB253" i="11"/>
  <c r="AB228" i="11"/>
  <c r="AB223" i="11"/>
  <c r="AB225" i="11"/>
  <c r="AB46" i="11"/>
  <c r="AB52" i="11"/>
  <c r="AD44" i="11"/>
  <c r="AE37" i="11"/>
  <c r="AC45" i="11"/>
  <c r="AC50" i="11"/>
  <c r="AC51" i="11"/>
  <c r="AK155" i="11"/>
  <c r="AK129" i="11"/>
  <c r="AK61" i="11"/>
  <c r="AK87" i="11"/>
  <c r="AK95" i="11"/>
  <c r="AK14" i="11"/>
  <c r="AK13" i="11"/>
  <c r="AN24" i="11"/>
  <c r="AN28" i="11"/>
  <c r="AN29" i="11"/>
  <c r="AK103" i="11"/>
  <c r="AL10" i="11"/>
  <c r="AH98" i="11"/>
  <c r="AM25" i="11"/>
  <c r="AM33" i="11"/>
  <c r="AM32" i="11"/>
  <c r="AJ156" i="11"/>
  <c r="AJ130" i="11"/>
  <c r="AJ62" i="11"/>
  <c r="AJ15" i="11"/>
  <c r="AJ104" i="11"/>
  <c r="Z256" i="11"/>
  <c r="Z248" i="11"/>
  <c r="AJ157" i="11"/>
  <c r="AJ131" i="11"/>
  <c r="AJ63" i="11"/>
  <c r="AJ105" i="11"/>
  <c r="AJ203" i="11"/>
  <c r="AI64" i="11"/>
  <c r="AI97" i="11"/>
  <c r="AA254" i="11"/>
  <c r="AI206" i="11"/>
  <c r="Y257" i="11"/>
  <c r="Y259" i="11"/>
  <c r="AA226" i="11"/>
  <c r="AA231" i="11"/>
  <c r="AA247" i="11"/>
  <c r="AJ205" i="11"/>
  <c r="AJ132" i="11"/>
  <c r="AJ149" i="11"/>
  <c r="AJ150" i="11"/>
  <c r="AJ158" i="11"/>
  <c r="AJ175" i="11"/>
  <c r="AJ176" i="11"/>
  <c r="AB229" i="11"/>
  <c r="Y260" i="11"/>
  <c r="Y261" i="11"/>
  <c r="AH49" i="11"/>
  <c r="AJ106" i="11"/>
  <c r="AJ123" i="11"/>
  <c r="AJ124" i="11"/>
  <c r="AJ204" i="11"/>
  <c r="AJ206" i="11"/>
  <c r="AI43" i="11"/>
  <c r="AJ36" i="11"/>
  <c r="AC228" i="11"/>
  <c r="AC253" i="11"/>
  <c r="AC223" i="11"/>
  <c r="AC225" i="11"/>
  <c r="AC46" i="11"/>
  <c r="AC52" i="11"/>
  <c r="AE44" i="11"/>
  <c r="AF37" i="11"/>
  <c r="AD50" i="11"/>
  <c r="AD51" i="11"/>
  <c r="AD45" i="11"/>
  <c r="AN25" i="11"/>
  <c r="AN33" i="11"/>
  <c r="AN32" i="11"/>
  <c r="AK156" i="11"/>
  <c r="AK130" i="11"/>
  <c r="AK62" i="11"/>
  <c r="AK15" i="11"/>
  <c r="AK104" i="11"/>
  <c r="AB226" i="11"/>
  <c r="AB231" i="11"/>
  <c r="AB247" i="11"/>
  <c r="AK157" i="11"/>
  <c r="AK131" i="11"/>
  <c r="AK63" i="11"/>
  <c r="AK105" i="11"/>
  <c r="Z257" i="11"/>
  <c r="Z259" i="11"/>
  <c r="AB254" i="11"/>
  <c r="AK132" i="11"/>
  <c r="AK149" i="11"/>
  <c r="AK150" i="11"/>
  <c r="AL129" i="11"/>
  <c r="AL155" i="11"/>
  <c r="AL61" i="11"/>
  <c r="AO28" i="11"/>
  <c r="AO29" i="11"/>
  <c r="AO24" i="11"/>
  <c r="AL87" i="11"/>
  <c r="AL95" i="11"/>
  <c r="AL14" i="11"/>
  <c r="AL13" i="11"/>
  <c r="AM10" i="11"/>
  <c r="AL103" i="11"/>
  <c r="AI98" i="11"/>
  <c r="AJ64" i="11"/>
  <c r="AJ97" i="11"/>
  <c r="AA256" i="11"/>
  <c r="AA248" i="11"/>
  <c r="AK203" i="11"/>
  <c r="AK64" i="11"/>
  <c r="AK97" i="11"/>
  <c r="AK106" i="11"/>
  <c r="AK123" i="11"/>
  <c r="AK124" i="11"/>
  <c r="AK158" i="11"/>
  <c r="AK175" i="11"/>
  <c r="AK176" i="11"/>
  <c r="AC229" i="11"/>
  <c r="Z260" i="11"/>
  <c r="Z261" i="11"/>
  <c r="AI49" i="11"/>
  <c r="AJ43" i="11"/>
  <c r="AK36" i="11"/>
  <c r="AD228" i="11"/>
  <c r="AD253" i="11"/>
  <c r="AD223" i="11"/>
  <c r="AD225" i="11"/>
  <c r="AD46" i="11"/>
  <c r="AD52" i="11"/>
  <c r="AB256" i="11"/>
  <c r="AB248" i="11"/>
  <c r="AF44" i="11"/>
  <c r="AG37" i="11"/>
  <c r="AE45" i="11"/>
  <c r="AE50" i="11"/>
  <c r="AE51" i="11"/>
  <c r="AL203" i="11"/>
  <c r="AM155" i="11"/>
  <c r="AM129" i="11"/>
  <c r="AM61" i="11"/>
  <c r="AP28" i="11"/>
  <c r="AP29" i="11"/>
  <c r="AP24" i="11"/>
  <c r="AM87" i="11"/>
  <c r="AM95" i="11"/>
  <c r="AN10" i="11"/>
  <c r="AM14" i="11"/>
  <c r="AM13" i="11"/>
  <c r="AM103" i="11"/>
  <c r="AK204" i="11"/>
  <c r="AC226" i="11"/>
  <c r="AC231" i="11"/>
  <c r="AC247" i="11"/>
  <c r="AL156" i="11"/>
  <c r="AL158" i="11"/>
  <c r="AL175" i="11"/>
  <c r="AL176" i="11"/>
  <c r="AL130" i="11"/>
  <c r="AL62" i="11"/>
  <c r="AL204" i="11"/>
  <c r="AL15" i="11"/>
  <c r="AL104" i="11"/>
  <c r="AL157" i="11"/>
  <c r="AL131" i="11"/>
  <c r="AL63" i="11"/>
  <c r="AL105" i="11"/>
  <c r="AC254" i="11"/>
  <c r="AA257" i="11"/>
  <c r="AA259" i="11"/>
  <c r="AJ98" i="11"/>
  <c r="AK98" i="11"/>
  <c r="AK205" i="11"/>
  <c r="AO25" i="11"/>
  <c r="AO33" i="11"/>
  <c r="AO32" i="11"/>
  <c r="I12" i="9"/>
  <c r="I8" i="9"/>
  <c r="AL106" i="11"/>
  <c r="AL123" i="11"/>
  <c r="AL124" i="11"/>
  <c r="AD229" i="11"/>
  <c r="AA260" i="11"/>
  <c r="AA261" i="11"/>
  <c r="AL205" i="11"/>
  <c r="AL206" i="11"/>
  <c r="AJ49" i="11"/>
  <c r="AL132" i="11"/>
  <c r="AL149" i="11"/>
  <c r="AL150" i="11"/>
  <c r="AK206" i="11"/>
  <c r="AK43" i="11"/>
  <c r="AL36" i="11"/>
  <c r="I19" i="9"/>
  <c r="I13" i="9"/>
  <c r="AG44" i="11"/>
  <c r="AH37" i="11"/>
  <c r="AC248" i="11"/>
  <c r="AC256" i="11"/>
  <c r="AB257" i="11"/>
  <c r="AB259" i="11"/>
  <c r="AM203" i="11"/>
  <c r="AM157" i="11"/>
  <c r="AM131" i="11"/>
  <c r="AM63" i="11"/>
  <c r="AM105" i="11"/>
  <c r="AP25" i="11"/>
  <c r="AP33" i="11"/>
  <c r="AP32" i="11"/>
  <c r="AN155" i="11"/>
  <c r="AN129" i="11"/>
  <c r="AN61" i="11"/>
  <c r="AQ28" i="11"/>
  <c r="AQ29" i="11"/>
  <c r="AQ24" i="11"/>
  <c r="AN87" i="11"/>
  <c r="AN95" i="11"/>
  <c r="AN14" i="11"/>
  <c r="AN13" i="11"/>
  <c r="AN103" i="11"/>
  <c r="AO10" i="11"/>
  <c r="AL64" i="11"/>
  <c r="AL97" i="11"/>
  <c r="AD226" i="11"/>
  <c r="AD247" i="11"/>
  <c r="AD231" i="11"/>
  <c r="AD254" i="11"/>
  <c r="AE253" i="11"/>
  <c r="AE228" i="11"/>
  <c r="AE223" i="11"/>
  <c r="AE225" i="11"/>
  <c r="AE46" i="11"/>
  <c r="AE52" i="11"/>
  <c r="AF50" i="11"/>
  <c r="AF51" i="11"/>
  <c r="AF45" i="11"/>
  <c r="AM156" i="11"/>
  <c r="AM158" i="11"/>
  <c r="AM175" i="11"/>
  <c r="AM176" i="11"/>
  <c r="AM130" i="11"/>
  <c r="AM132" i="11"/>
  <c r="AM149" i="11"/>
  <c r="AM150" i="11"/>
  <c r="AM62" i="11"/>
  <c r="AM15" i="11"/>
  <c r="AM104" i="11"/>
  <c r="AM106" i="11"/>
  <c r="AM123" i="11"/>
  <c r="AM124" i="11"/>
  <c r="AM204" i="11"/>
  <c r="AE229" i="11"/>
  <c r="I20" i="9"/>
  <c r="AB260" i="11"/>
  <c r="AB261" i="11"/>
  <c r="AK49" i="11"/>
  <c r="AL43" i="11"/>
  <c r="AM36" i="11"/>
  <c r="AC257" i="11"/>
  <c r="AC259" i="11"/>
  <c r="AL98" i="11"/>
  <c r="AD256" i="11"/>
  <c r="AD248" i="11"/>
  <c r="AO155" i="11"/>
  <c r="AO129" i="11"/>
  <c r="AR28" i="11"/>
  <c r="AR29" i="11"/>
  <c r="AR24" i="11"/>
  <c r="AO87" i="11"/>
  <c r="AO95" i="11"/>
  <c r="AO61" i="11"/>
  <c r="AO14" i="11"/>
  <c r="AO13" i="11"/>
  <c r="AO103" i="11"/>
  <c r="AP10" i="11"/>
  <c r="AH44" i="11"/>
  <c r="AI37" i="11"/>
  <c r="AM205" i="11"/>
  <c r="AM206" i="11"/>
  <c r="AG50" i="11"/>
  <c r="AG51" i="11"/>
  <c r="AG45" i="11"/>
  <c r="AF253" i="11"/>
  <c r="AF228" i="11"/>
  <c r="AF223" i="11"/>
  <c r="AF225" i="11"/>
  <c r="AF46" i="11"/>
  <c r="AF52" i="11"/>
  <c r="AE226" i="11"/>
  <c r="AE247" i="11"/>
  <c r="AE231" i="11"/>
  <c r="AN157" i="11"/>
  <c r="AN131" i="11"/>
  <c r="AN63" i="11"/>
  <c r="AN105" i="11"/>
  <c r="AE254" i="11"/>
  <c r="AN203" i="11"/>
  <c r="AN156" i="11"/>
  <c r="AN130" i="11"/>
  <c r="AN15" i="11"/>
  <c r="AN62" i="11"/>
  <c r="AN104" i="11"/>
  <c r="AQ25" i="11"/>
  <c r="AQ33" i="11"/>
  <c r="AQ32" i="11"/>
  <c r="AM64" i="11"/>
  <c r="AM97" i="11"/>
  <c r="I22" i="9"/>
  <c r="AN132" i="11"/>
  <c r="AN149" i="11"/>
  <c r="AN150" i="11"/>
  <c r="AF229" i="11"/>
  <c r="AC260" i="11"/>
  <c r="AC261" i="11"/>
  <c r="AN158" i="11"/>
  <c r="AN175" i="11"/>
  <c r="AN176" i="11"/>
  <c r="AL49" i="11"/>
  <c r="AN204" i="11"/>
  <c r="AN106" i="11"/>
  <c r="AN123" i="11"/>
  <c r="AN124" i="11"/>
  <c r="AM43" i="11"/>
  <c r="AN36" i="11"/>
  <c r="I24" i="9"/>
  <c r="I27" i="9"/>
  <c r="AR25" i="11"/>
  <c r="AR33" i="11"/>
  <c r="AR32" i="11"/>
  <c r="AI44" i="11"/>
  <c r="AJ37" i="11"/>
  <c r="AN64" i="11"/>
  <c r="AN97" i="11"/>
  <c r="AF226" i="11"/>
  <c r="AF247" i="11"/>
  <c r="AF231" i="11"/>
  <c r="AP155" i="11"/>
  <c r="AP129" i="11"/>
  <c r="AP87" i="11"/>
  <c r="AP95" i="11"/>
  <c r="AS28" i="11"/>
  <c r="AS29" i="11"/>
  <c r="AS24" i="11"/>
  <c r="AP61" i="11"/>
  <c r="AP14" i="11"/>
  <c r="AP13" i="11"/>
  <c r="AQ10" i="11"/>
  <c r="AP103" i="11"/>
  <c r="AD257" i="11"/>
  <c r="AD259" i="11"/>
  <c r="AO156" i="11"/>
  <c r="AO130" i="11"/>
  <c r="AO15" i="11"/>
  <c r="AO62" i="11"/>
  <c r="AO104" i="11"/>
  <c r="AH45" i="11"/>
  <c r="AH50" i="11"/>
  <c r="AH51" i="11"/>
  <c r="AO157" i="11"/>
  <c r="AO131" i="11"/>
  <c r="AO63" i="11"/>
  <c r="AO105" i="11"/>
  <c r="AE256" i="11"/>
  <c r="AE248" i="11"/>
  <c r="AM98" i="11"/>
  <c r="AG228" i="11"/>
  <c r="AG253" i="11"/>
  <c r="AG223" i="11"/>
  <c r="AG225" i="11"/>
  <c r="AG46" i="11"/>
  <c r="AG52" i="11"/>
  <c r="AO203" i="11"/>
  <c r="AF254" i="11"/>
  <c r="AN205" i="11"/>
  <c r="AO204" i="11"/>
  <c r="AN206" i="11"/>
  <c r="AG229" i="11"/>
  <c r="AD260" i="11"/>
  <c r="AD261" i="11"/>
  <c r="I28" i="9"/>
  <c r="AO132" i="11"/>
  <c r="AO149" i="11"/>
  <c r="AO150" i="11"/>
  <c r="AM49" i="11"/>
  <c r="AO106" i="11"/>
  <c r="AO123" i="11"/>
  <c r="AO124" i="11"/>
  <c r="AO158" i="11"/>
  <c r="AO175" i="11"/>
  <c r="AO176" i="11"/>
  <c r="AO205" i="11"/>
  <c r="AO206" i="11"/>
  <c r="AN43" i="11"/>
  <c r="AO36" i="11"/>
  <c r="AF256" i="11"/>
  <c r="AF248" i="11"/>
  <c r="AN98" i="11"/>
  <c r="AH253" i="11"/>
  <c r="AH228" i="11"/>
  <c r="AH223" i="11"/>
  <c r="AH225" i="11"/>
  <c r="AH46" i="11"/>
  <c r="AH52" i="11"/>
  <c r="AJ44" i="11"/>
  <c r="AK37" i="11"/>
  <c r="AG254" i="11"/>
  <c r="AP157" i="11"/>
  <c r="AP131" i="11"/>
  <c r="AP63" i="11"/>
  <c r="AP105" i="11"/>
  <c r="AI50" i="11"/>
  <c r="AI51" i="11"/>
  <c r="AI45" i="11"/>
  <c r="AO64" i="11"/>
  <c r="AO97" i="11"/>
  <c r="AG226" i="11"/>
  <c r="AG231" i="11"/>
  <c r="AG247" i="11"/>
  <c r="AP156" i="11"/>
  <c r="AP130" i="11"/>
  <c r="AP15" i="11"/>
  <c r="AP62" i="11"/>
  <c r="AP104" i="11"/>
  <c r="AP203" i="11"/>
  <c r="AQ155" i="11"/>
  <c r="AQ129" i="11"/>
  <c r="AQ87" i="11"/>
  <c r="AQ95" i="11"/>
  <c r="B95" i="11"/>
  <c r="AT28" i="11"/>
  <c r="AT29" i="11"/>
  <c r="AT24" i="11"/>
  <c r="AQ14" i="11"/>
  <c r="AQ13" i="11"/>
  <c r="AQ61" i="11"/>
  <c r="AQ103" i="11"/>
  <c r="AR10" i="11"/>
  <c r="AE257" i="11"/>
  <c r="AE259" i="11"/>
  <c r="AS25" i="11"/>
  <c r="AS33" i="11"/>
  <c r="AS32" i="11"/>
  <c r="AP205" i="11"/>
  <c r="AH229" i="11"/>
  <c r="AE260" i="11"/>
  <c r="AE261" i="11"/>
  <c r="AP132" i="11"/>
  <c r="AP149" i="11"/>
  <c r="AP150" i="11"/>
  <c r="AN49" i="11"/>
  <c r="AP106" i="11"/>
  <c r="AP123" i="11"/>
  <c r="AP124" i="11"/>
  <c r="AP158" i="11"/>
  <c r="AP175" i="11"/>
  <c r="AP176" i="11"/>
  <c r="AO43" i="11"/>
  <c r="AP36" i="11"/>
  <c r="AJ50" i="11"/>
  <c r="AJ51" i="11"/>
  <c r="AJ45" i="11"/>
  <c r="AG256" i="11"/>
  <c r="AG248" i="11"/>
  <c r="AH226" i="11"/>
  <c r="AH231" i="11"/>
  <c r="AH247" i="11"/>
  <c r="AQ203" i="11"/>
  <c r="AP64" i="11"/>
  <c r="AP97" i="11"/>
  <c r="AH254" i="11"/>
  <c r="AK44" i="11"/>
  <c r="AL37" i="11"/>
  <c r="AO98" i="11"/>
  <c r="AI228" i="11"/>
  <c r="AI253" i="11"/>
  <c r="AI223" i="11"/>
  <c r="AI225" i="11"/>
  <c r="AI46" i="11"/>
  <c r="AI52" i="11"/>
  <c r="AQ156" i="11"/>
  <c r="AQ130" i="11"/>
  <c r="AQ62" i="11"/>
  <c r="AQ15" i="11"/>
  <c r="AQ104" i="11"/>
  <c r="AT25" i="11"/>
  <c r="AT33" i="11"/>
  <c r="AT32" i="11"/>
  <c r="AP204" i="11"/>
  <c r="AP206" i="11"/>
  <c r="AQ157" i="11"/>
  <c r="AQ131" i="11"/>
  <c r="AQ63" i="11"/>
  <c r="AQ105" i="11"/>
  <c r="AR129" i="11"/>
  <c r="AR155" i="11"/>
  <c r="AR87" i="11"/>
  <c r="AR95" i="11"/>
  <c r="AR61" i="11"/>
  <c r="AU28" i="11"/>
  <c r="AU29" i="11"/>
  <c r="AU24" i="11"/>
  <c r="AR14" i="11"/>
  <c r="AR13" i="11"/>
  <c r="AR103" i="11"/>
  <c r="AS10" i="11"/>
  <c r="AF257" i="11"/>
  <c r="AF259" i="11"/>
  <c r="AQ158" i="11"/>
  <c r="AQ106" i="11"/>
  <c r="AI229" i="11"/>
  <c r="AF260" i="11"/>
  <c r="AF261" i="11"/>
  <c r="AQ64" i="11"/>
  <c r="AO49" i="11"/>
  <c r="AQ132" i="11"/>
  <c r="B132" i="11"/>
  <c r="AP43" i="11"/>
  <c r="AQ36" i="11"/>
  <c r="AQ175" i="11"/>
  <c r="B158" i="11"/>
  <c r="AQ149" i="11"/>
  <c r="AR156" i="11"/>
  <c r="AR130" i="11"/>
  <c r="AR15" i="11"/>
  <c r="AR62" i="11"/>
  <c r="AR104" i="11"/>
  <c r="AQ97" i="11"/>
  <c r="B64" i="11"/>
  <c r="AU25" i="11"/>
  <c r="AU33" i="11"/>
  <c r="AU32" i="11"/>
  <c r="AQ123" i="11"/>
  <c r="B106" i="11"/>
  <c r="AL44" i="11"/>
  <c r="AM37" i="11"/>
  <c r="AI226" i="11"/>
  <c r="AI247" i="11"/>
  <c r="AI231" i="11"/>
  <c r="AK50" i="11"/>
  <c r="AK51" i="11"/>
  <c r="AK45" i="11"/>
  <c r="AP98" i="11"/>
  <c r="AG257" i="11"/>
  <c r="AG259" i="11"/>
  <c r="AS155" i="11"/>
  <c r="AS87" i="11"/>
  <c r="AS95" i="11"/>
  <c r="AS129" i="11"/>
  <c r="AV28" i="11"/>
  <c r="AV29" i="11"/>
  <c r="AV24" i="11"/>
  <c r="AS14" i="11"/>
  <c r="AS13" i="11"/>
  <c r="AS61" i="11"/>
  <c r="AS103" i="11"/>
  <c r="AT10" i="11"/>
  <c r="AR157" i="11"/>
  <c r="AR131" i="11"/>
  <c r="AR63" i="11"/>
  <c r="AR105" i="11"/>
  <c r="AI254" i="11"/>
  <c r="AH256" i="11"/>
  <c r="AH248" i="11"/>
  <c r="AR203" i="11"/>
  <c r="AQ204" i="11"/>
  <c r="AJ253" i="11"/>
  <c r="AJ228" i="11"/>
  <c r="AJ223" i="11"/>
  <c r="AJ225" i="11"/>
  <c r="AJ46" i="11"/>
  <c r="AJ52" i="11"/>
  <c r="AQ205" i="11"/>
  <c r="AR205" i="11"/>
  <c r="AR132" i="11"/>
  <c r="AR149" i="11"/>
  <c r="AR158" i="11"/>
  <c r="AR175" i="11"/>
  <c r="AG260" i="11"/>
  <c r="AG261" i="11"/>
  <c r="AJ229" i="11"/>
  <c r="AP49" i="11"/>
  <c r="AQ206" i="11"/>
  <c r="B206" i="11"/>
  <c r="AR106" i="11"/>
  <c r="AR123" i="11"/>
  <c r="AR204" i="11"/>
  <c r="AR206" i="11"/>
  <c r="AQ43" i="11"/>
  <c r="AR36" i="11"/>
  <c r="AQ98" i="11"/>
  <c r="B98" i="11"/>
  <c r="B97" i="11"/>
  <c r="AV25" i="11"/>
  <c r="AV33" i="11"/>
  <c r="AV32" i="11"/>
  <c r="AI256" i="11"/>
  <c r="AI248" i="11"/>
  <c r="AQ124" i="11"/>
  <c r="B124" i="11"/>
  <c r="B123" i="11"/>
  <c r="AL50" i="11"/>
  <c r="AL51" i="11"/>
  <c r="AL45" i="11"/>
  <c r="AQ150" i="11"/>
  <c r="B150" i="11"/>
  <c r="B149" i="11"/>
  <c r="AR150" i="11"/>
  <c r="AJ226" i="11"/>
  <c r="AJ231" i="11"/>
  <c r="AJ247" i="11"/>
  <c r="AJ254" i="11"/>
  <c r="AR64" i="11"/>
  <c r="AR97" i="11"/>
  <c r="AK228" i="11"/>
  <c r="AK253" i="11"/>
  <c r="AK223" i="11"/>
  <c r="AK225" i="11"/>
  <c r="AK46" i="11"/>
  <c r="AK52" i="11"/>
  <c r="AQ176" i="11"/>
  <c r="B176" i="11"/>
  <c r="B175" i="11"/>
  <c r="AS131" i="11"/>
  <c r="AS157" i="11"/>
  <c r="AS63" i="11"/>
  <c r="AS105" i="11"/>
  <c r="AH257" i="11"/>
  <c r="AH259" i="11"/>
  <c r="AM44" i="11"/>
  <c r="AN37" i="11"/>
  <c r="AT155" i="11"/>
  <c r="AT129" i="11"/>
  <c r="AT87" i="11"/>
  <c r="AT95" i="11"/>
  <c r="AT61" i="11"/>
  <c r="AW28" i="11"/>
  <c r="AW29" i="11"/>
  <c r="AW24" i="11"/>
  <c r="AT14" i="11"/>
  <c r="AT13" i="11"/>
  <c r="AT103" i="11"/>
  <c r="AU10" i="11"/>
  <c r="AS203" i="11"/>
  <c r="AS156" i="11"/>
  <c r="AS130" i="11"/>
  <c r="AS15" i="11"/>
  <c r="AS62" i="11"/>
  <c r="AS204" i="11"/>
  <c r="AS104" i="11"/>
  <c r="J7" i="9"/>
  <c r="AS205" i="11"/>
  <c r="AH260" i="11"/>
  <c r="AH261" i="11"/>
  <c r="AK229" i="11"/>
  <c r="AS158" i="11"/>
  <c r="AS175" i="11"/>
  <c r="AS106" i="11"/>
  <c r="AS123" i="11"/>
  <c r="AS132" i="11"/>
  <c r="AS149" i="11"/>
  <c r="AS150" i="11"/>
  <c r="AR124" i="11"/>
  <c r="AR43" i="11"/>
  <c r="AS36" i="11"/>
  <c r="AQ49" i="11"/>
  <c r="AS64" i="11"/>
  <c r="AS97" i="11"/>
  <c r="AT157" i="11"/>
  <c r="AT131" i="11"/>
  <c r="AT63" i="11"/>
  <c r="AT105" i="11"/>
  <c r="AT203" i="11"/>
  <c r="AS206" i="11"/>
  <c r="AN44" i="11"/>
  <c r="AO37" i="11"/>
  <c r="AI257" i="11"/>
  <c r="AI259" i="11"/>
  <c r="AM45" i="11"/>
  <c r="AM50" i="11"/>
  <c r="AM51" i="11"/>
  <c r="AK226" i="11"/>
  <c r="AK247" i="11"/>
  <c r="AK231" i="11"/>
  <c r="AL253" i="11"/>
  <c r="AL223" i="11"/>
  <c r="AL225" i="11"/>
  <c r="AL228" i="11"/>
  <c r="AL46" i="11"/>
  <c r="AL52" i="11"/>
  <c r="AR176" i="11"/>
  <c r="AS176" i="11"/>
  <c r="AJ256" i="11"/>
  <c r="AJ248" i="11"/>
  <c r="AU155" i="11"/>
  <c r="AU87" i="11"/>
  <c r="AU95" i="11"/>
  <c r="AU129" i="11"/>
  <c r="AU61" i="11"/>
  <c r="AX28" i="11"/>
  <c r="AX29" i="11"/>
  <c r="AX24" i="11"/>
  <c r="AU14" i="11"/>
  <c r="AU13" i="11"/>
  <c r="AU103" i="11"/>
  <c r="AV10" i="11"/>
  <c r="AK254" i="11"/>
  <c r="AW25" i="11"/>
  <c r="AW33" i="11"/>
  <c r="AW32" i="11"/>
  <c r="AT156" i="11"/>
  <c r="AT130" i="11"/>
  <c r="AT15" i="11"/>
  <c r="AT62" i="11"/>
  <c r="AT104" i="11"/>
  <c r="AR98" i="11"/>
  <c r="AT205" i="11"/>
  <c r="AI260" i="11"/>
  <c r="AI261" i="11"/>
  <c r="AL229" i="11"/>
  <c r="AS124" i="11"/>
  <c r="AT132" i="11"/>
  <c r="AT149" i="11"/>
  <c r="AT64" i="11"/>
  <c r="AT97" i="11"/>
  <c r="AT158" i="11"/>
  <c r="AT175" i="11"/>
  <c r="AT176" i="11"/>
  <c r="AT150" i="11"/>
  <c r="AT106" i="11"/>
  <c r="AT123" i="11"/>
  <c r="AT124" i="11"/>
  <c r="AS43" i="11"/>
  <c r="AT36" i="11"/>
  <c r="AR49" i="11"/>
  <c r="AX25" i="11"/>
  <c r="AX33" i="11"/>
  <c r="AX32" i="11"/>
  <c r="AN50" i="11"/>
  <c r="AN51" i="11"/>
  <c r="AN45" i="11"/>
  <c r="AL226" i="11"/>
  <c r="AL231" i="11"/>
  <c r="AL247" i="11"/>
  <c r="AL254" i="11"/>
  <c r="AM223" i="11"/>
  <c r="AM225" i="11"/>
  <c r="AM228" i="11"/>
  <c r="AM253" i="11"/>
  <c r="AM46" i="11"/>
  <c r="AM52" i="11"/>
  <c r="AU157" i="11"/>
  <c r="AU131" i="11"/>
  <c r="AU63" i="11"/>
  <c r="AU105" i="11"/>
  <c r="AU203" i="11"/>
  <c r="AV155" i="11"/>
  <c r="AV129" i="11"/>
  <c r="AV87" i="11"/>
  <c r="AV95" i="11"/>
  <c r="AV61" i="11"/>
  <c r="AY28" i="11"/>
  <c r="AY29" i="11"/>
  <c r="AY24" i="11"/>
  <c r="AV14" i="11"/>
  <c r="AV13" i="11"/>
  <c r="AV103" i="11"/>
  <c r="AW10" i="11"/>
  <c r="AJ257" i="11"/>
  <c r="AJ259" i="11"/>
  <c r="AS98" i="11"/>
  <c r="AK256" i="11"/>
  <c r="AK248" i="11"/>
  <c r="AT204" i="11"/>
  <c r="AT206" i="11"/>
  <c r="AU156" i="11"/>
  <c r="AU130" i="11"/>
  <c r="AU62" i="11"/>
  <c r="AU15" i="11"/>
  <c r="AU104" i="11"/>
  <c r="AO44" i="11"/>
  <c r="AP37" i="11"/>
  <c r="AT98" i="11"/>
  <c r="AJ260" i="11"/>
  <c r="AJ261" i="11"/>
  <c r="AM229" i="11"/>
  <c r="AU106" i="11"/>
  <c r="AU123" i="11"/>
  <c r="AU124" i="11"/>
  <c r="AU64" i="11"/>
  <c r="AU97" i="11"/>
  <c r="AU132" i="11"/>
  <c r="AU149" i="11"/>
  <c r="AU150" i="11"/>
  <c r="AU158" i="11"/>
  <c r="AU175" i="11"/>
  <c r="AU176" i="11"/>
  <c r="AT43" i="11"/>
  <c r="AU36" i="11"/>
  <c r="AS49" i="11"/>
  <c r="AU98" i="11"/>
  <c r="AN253" i="11"/>
  <c r="AN223" i="11"/>
  <c r="AN225" i="11"/>
  <c r="AN228" i="11"/>
  <c r="AN46" i="11"/>
  <c r="AN52" i="11"/>
  <c r="AU205" i="11"/>
  <c r="AM226" i="11"/>
  <c r="AM231" i="11"/>
  <c r="AM247" i="11"/>
  <c r="AY25" i="11"/>
  <c r="AY33" i="11"/>
  <c r="AY32" i="11"/>
  <c r="AP44" i="11"/>
  <c r="AQ37" i="11"/>
  <c r="AW155" i="11"/>
  <c r="AW129" i="11"/>
  <c r="AW87" i="11"/>
  <c r="AW95" i="11"/>
  <c r="AW61" i="11"/>
  <c r="AW14" i="11"/>
  <c r="AW13" i="11"/>
  <c r="AZ28" i="11"/>
  <c r="AZ29" i="11"/>
  <c r="AZ24" i="11"/>
  <c r="AX10" i="11"/>
  <c r="AW103" i="11"/>
  <c r="AV131" i="11"/>
  <c r="AV157" i="11"/>
  <c r="AV63" i="11"/>
  <c r="AV105" i="11"/>
  <c r="AV203" i="11"/>
  <c r="AK257" i="11"/>
  <c r="AK259" i="11"/>
  <c r="AO50" i="11"/>
  <c r="AO51" i="11"/>
  <c r="AO45" i="11"/>
  <c r="AL256" i="11"/>
  <c r="AL248" i="11"/>
  <c r="AV156" i="11"/>
  <c r="AV130" i="11"/>
  <c r="AV62" i="11"/>
  <c r="AV15" i="11"/>
  <c r="AV104" i="11"/>
  <c r="AM254" i="11"/>
  <c r="AU204" i="11"/>
  <c r="AV205" i="11"/>
  <c r="AV132" i="11"/>
  <c r="AV149" i="11"/>
  <c r="AV150" i="11"/>
  <c r="AU206" i="11"/>
  <c r="AK260" i="11"/>
  <c r="AK261" i="11"/>
  <c r="AN229" i="11"/>
  <c r="AV204" i="11"/>
  <c r="AV206" i="11"/>
  <c r="AV106" i="11"/>
  <c r="AV123" i="11"/>
  <c r="AV124" i="11"/>
  <c r="AV64" i="11"/>
  <c r="AV97" i="11"/>
  <c r="AV98" i="11"/>
  <c r="AV158" i="11"/>
  <c r="AV175" i="11"/>
  <c r="AV176" i="11"/>
  <c r="AU43" i="11"/>
  <c r="AV36" i="11"/>
  <c r="AT49" i="11"/>
  <c r="AW130" i="11"/>
  <c r="AW156" i="11"/>
  <c r="AW62" i="11"/>
  <c r="AW204" i="11"/>
  <c r="AW15" i="11"/>
  <c r="AW104" i="11"/>
  <c r="AL257" i="11"/>
  <c r="AL259" i="11"/>
  <c r="AQ44" i="11"/>
  <c r="AR37" i="11"/>
  <c r="AN226" i="11"/>
  <c r="AN247" i="11"/>
  <c r="AN231" i="11"/>
  <c r="AM248" i="11"/>
  <c r="AM256" i="11"/>
  <c r="AP50" i="11"/>
  <c r="AP51" i="11"/>
  <c r="AP45" i="11"/>
  <c r="AN254" i="11"/>
  <c r="AW203" i="11"/>
  <c r="AO228" i="11"/>
  <c r="AO253" i="11"/>
  <c r="AO223" i="11"/>
  <c r="AO225" i="11"/>
  <c r="AO46" i="11"/>
  <c r="AO52" i="11"/>
  <c r="AX155" i="11"/>
  <c r="AX129" i="11"/>
  <c r="AX87" i="11"/>
  <c r="AX95" i="11"/>
  <c r="AX61" i="11"/>
  <c r="BA28" i="11"/>
  <c r="BA29" i="11"/>
  <c r="BA24" i="11"/>
  <c r="AX14" i="11"/>
  <c r="AX13" i="11"/>
  <c r="AX103" i="11"/>
  <c r="AY10" i="11"/>
  <c r="AW157" i="11"/>
  <c r="AW131" i="11"/>
  <c r="AW63" i="11"/>
  <c r="AW205" i="11"/>
  <c r="AW105" i="11"/>
  <c r="AZ25" i="11"/>
  <c r="AZ33" i="11"/>
  <c r="AZ32" i="11"/>
  <c r="AW158" i="11"/>
  <c r="AW175" i="11"/>
  <c r="AW176" i="11"/>
  <c r="AW132" i="11"/>
  <c r="AW149" i="11"/>
  <c r="AW150" i="11"/>
  <c r="AL260" i="11"/>
  <c r="AL261" i="11"/>
  <c r="AO229" i="11"/>
  <c r="AW106" i="11"/>
  <c r="AW123" i="11"/>
  <c r="AW124" i="11"/>
  <c r="AV43" i="11"/>
  <c r="AW36" i="11"/>
  <c r="AU49" i="11"/>
  <c r="AX203" i="11"/>
  <c r="AO226" i="11"/>
  <c r="AO247" i="11"/>
  <c r="AO231" i="11"/>
  <c r="AP228" i="11"/>
  <c r="AP253" i="11"/>
  <c r="AP223" i="11"/>
  <c r="AP225" i="11"/>
  <c r="AP46" i="11"/>
  <c r="AP52" i="11"/>
  <c r="AM257" i="11"/>
  <c r="AM259" i="11"/>
  <c r="AY155" i="11"/>
  <c r="AY129" i="11"/>
  <c r="AY61" i="11"/>
  <c r="BB28" i="11"/>
  <c r="BB29" i="11"/>
  <c r="BB24" i="11"/>
  <c r="AY87" i="11"/>
  <c r="AY95" i="11"/>
  <c r="AZ10" i="11"/>
  <c r="AY13" i="11"/>
  <c r="AY14" i="11"/>
  <c r="AY103" i="11"/>
  <c r="AO254" i="11"/>
  <c r="AN256" i="11"/>
  <c r="AN248" i="11"/>
  <c r="AX156" i="11"/>
  <c r="AX130" i="11"/>
  <c r="AX62" i="11"/>
  <c r="AX15" i="11"/>
  <c r="AX104" i="11"/>
  <c r="AX106" i="11"/>
  <c r="AX123" i="11"/>
  <c r="AX124" i="11"/>
  <c r="AW64" i="11"/>
  <c r="AW97" i="11"/>
  <c r="AR44" i="11"/>
  <c r="AS37" i="11"/>
  <c r="BA25" i="11"/>
  <c r="BA33" i="11"/>
  <c r="BA32" i="11"/>
  <c r="AX157" i="11"/>
  <c r="AX131" i="11"/>
  <c r="AX63" i="11"/>
  <c r="AX105" i="11"/>
  <c r="AW206" i="11"/>
  <c r="AQ45" i="11"/>
  <c r="AQ50" i="11"/>
  <c r="AQ51" i="11"/>
  <c r="J12" i="9"/>
  <c r="J8" i="9"/>
  <c r="AX204" i="11"/>
  <c r="AM260" i="11"/>
  <c r="AM261" i="11"/>
  <c r="AP229" i="11"/>
  <c r="AX158" i="11"/>
  <c r="AX175" i="11"/>
  <c r="AX176" i="11"/>
  <c r="AX205" i="11"/>
  <c r="AX206" i="11"/>
  <c r="AX132" i="11"/>
  <c r="AX149" i="11"/>
  <c r="AX150" i="11"/>
  <c r="AW43" i="11"/>
  <c r="AX36" i="11"/>
  <c r="AV49" i="11"/>
  <c r="J13" i="9"/>
  <c r="J19" i="9"/>
  <c r="AP226" i="11"/>
  <c r="AP231" i="11"/>
  <c r="AP247" i="11"/>
  <c r="AW98" i="11"/>
  <c r="AY156" i="11"/>
  <c r="AY130" i="11"/>
  <c r="AY62" i="11"/>
  <c r="AY15" i="11"/>
  <c r="AY104" i="11"/>
  <c r="AP254" i="11"/>
  <c r="AZ155" i="11"/>
  <c r="AZ129" i="11"/>
  <c r="AZ61" i="11"/>
  <c r="BC28" i="11"/>
  <c r="BC29" i="11"/>
  <c r="BC24" i="11"/>
  <c r="AZ87" i="11"/>
  <c r="AZ95" i="11"/>
  <c r="AZ14" i="11"/>
  <c r="AZ13" i="11"/>
  <c r="BA10" i="11"/>
  <c r="AZ103" i="11"/>
  <c r="BB25" i="11"/>
  <c r="BB33" i="11"/>
  <c r="BB32" i="11"/>
  <c r="AO248" i="11"/>
  <c r="AO256" i="11"/>
  <c r="AR50" i="11"/>
  <c r="AR51" i="11"/>
  <c r="AR45" i="11"/>
  <c r="AQ228" i="11"/>
  <c r="AQ224" i="11"/>
  <c r="AQ223" i="11"/>
  <c r="AQ225" i="11"/>
  <c r="AQ253" i="11"/>
  <c r="AQ46" i="11"/>
  <c r="B46" i="11"/>
  <c r="B45" i="11"/>
  <c r="AY203" i="11"/>
  <c r="AY157" i="11"/>
  <c r="AY131" i="11"/>
  <c r="AY63" i="11"/>
  <c r="AY105" i="11"/>
  <c r="AX64" i="11"/>
  <c r="AX97" i="11"/>
  <c r="AS44" i="11"/>
  <c r="AT37" i="11"/>
  <c r="AN257" i="11"/>
  <c r="AN259" i="11"/>
  <c r="AY205" i="11"/>
  <c r="AY132" i="11"/>
  <c r="AY149" i="11"/>
  <c r="AY150" i="11"/>
  <c r="AQ229" i="11"/>
  <c r="AN260" i="11"/>
  <c r="AN261" i="11"/>
  <c r="J20" i="9"/>
  <c r="AY158" i="11"/>
  <c r="AY175" i="11"/>
  <c r="AY176" i="11"/>
  <c r="AY204" i="11"/>
  <c r="AY206" i="11"/>
  <c r="AQ52" i="11"/>
  <c r="AY106" i="11"/>
  <c r="AY123" i="11"/>
  <c r="AY124" i="11"/>
  <c r="AX43" i="11"/>
  <c r="AY36" i="11"/>
  <c r="AW49" i="11"/>
  <c r="AX98" i="11"/>
  <c r="AZ203" i="11"/>
  <c r="AP256" i="11"/>
  <c r="AP248" i="11"/>
  <c r="AZ157" i="11"/>
  <c r="AZ131" i="11"/>
  <c r="AZ63" i="11"/>
  <c r="AZ105" i="11"/>
  <c r="AQ226" i="11"/>
  <c r="B226" i="11"/>
  <c r="AQ231" i="11"/>
  <c r="AQ247" i="11"/>
  <c r="AR253" i="11"/>
  <c r="AR228" i="11"/>
  <c r="AR223" i="11"/>
  <c r="AR225" i="11"/>
  <c r="AR46" i="11"/>
  <c r="AR52" i="11"/>
  <c r="AO257" i="11"/>
  <c r="AO259" i="11"/>
  <c r="AY64" i="11"/>
  <c r="AY97" i="11"/>
  <c r="BC25" i="11"/>
  <c r="BC33" i="11"/>
  <c r="BC32" i="11"/>
  <c r="AT44" i="11"/>
  <c r="AU37" i="11"/>
  <c r="AS50" i="11"/>
  <c r="AS51" i="11"/>
  <c r="AS45" i="11"/>
  <c r="BA155" i="11"/>
  <c r="BA129" i="11"/>
  <c r="BD28" i="11"/>
  <c r="BD29" i="11"/>
  <c r="BD24" i="11"/>
  <c r="BA61" i="11"/>
  <c r="BA87" i="11"/>
  <c r="BA95" i="11"/>
  <c r="BA13" i="11"/>
  <c r="BA14" i="11"/>
  <c r="BA103" i="11"/>
  <c r="BB10" i="11"/>
  <c r="AQ254" i="11"/>
  <c r="B254" i="11"/>
  <c r="B253" i="11"/>
  <c r="AZ156" i="11"/>
  <c r="AZ130" i="11"/>
  <c r="AZ15" i="11"/>
  <c r="AZ62" i="11"/>
  <c r="AZ104" i="11"/>
  <c r="J22" i="9"/>
  <c r="AR229" i="11"/>
  <c r="AO260" i="11"/>
  <c r="AO261" i="11"/>
  <c r="AZ205" i="11"/>
  <c r="AZ106" i="11"/>
  <c r="AZ123" i="11"/>
  <c r="AZ124" i="11"/>
  <c r="AZ64" i="11"/>
  <c r="AZ97" i="11"/>
  <c r="AZ158" i="11"/>
  <c r="AZ175" i="11"/>
  <c r="AZ176" i="11"/>
  <c r="AZ132" i="11"/>
  <c r="AZ149" i="11"/>
  <c r="AZ150" i="11"/>
  <c r="AY43" i="11"/>
  <c r="AZ36" i="11"/>
  <c r="AX49" i="11"/>
  <c r="J24" i="9"/>
  <c r="J27" i="9"/>
  <c r="AS228" i="11"/>
  <c r="AS253" i="11"/>
  <c r="AS223" i="11"/>
  <c r="AS225" i="11"/>
  <c r="AS46" i="11"/>
  <c r="AS52" i="11"/>
  <c r="AY98" i="11"/>
  <c r="AR226" i="11"/>
  <c r="AR247" i="11"/>
  <c r="AR231" i="11"/>
  <c r="BB155" i="11"/>
  <c r="BB129" i="11"/>
  <c r="BB87" i="11"/>
  <c r="BB95" i="11"/>
  <c r="BB61" i="11"/>
  <c r="BE28" i="11"/>
  <c r="BE29" i="11"/>
  <c r="BE24" i="11"/>
  <c r="BB14" i="11"/>
  <c r="BB13" i="11"/>
  <c r="BC10" i="11"/>
  <c r="BB103" i="11"/>
  <c r="AP257" i="11"/>
  <c r="AP259" i="11"/>
  <c r="AR254" i="11"/>
  <c r="AU44" i="11"/>
  <c r="AV37" i="11"/>
  <c r="BA156" i="11"/>
  <c r="BA130" i="11"/>
  <c r="BA15" i="11"/>
  <c r="BA62" i="11"/>
  <c r="BA104" i="11"/>
  <c r="AT45" i="11"/>
  <c r="AT50" i="11"/>
  <c r="AT51" i="11"/>
  <c r="AQ256" i="11"/>
  <c r="AQ248" i="11"/>
  <c r="B248" i="11"/>
  <c r="BA131" i="11"/>
  <c r="BA157" i="11"/>
  <c r="BA63" i="11"/>
  <c r="BA105" i="11"/>
  <c r="BA158" i="11"/>
  <c r="BA175" i="11"/>
  <c r="BA176" i="11"/>
  <c r="BA203" i="11"/>
  <c r="AZ204" i="11"/>
  <c r="AZ206" i="11"/>
  <c r="BD25" i="11"/>
  <c r="BD33" i="11"/>
  <c r="BD32" i="11"/>
  <c r="BA132" i="11"/>
  <c r="BA149" i="11"/>
  <c r="BA150" i="11"/>
  <c r="BA205" i="11"/>
  <c r="BA204" i="11"/>
  <c r="AS229" i="11"/>
  <c r="AP260" i="11"/>
  <c r="AP261" i="11"/>
  <c r="BA106" i="11"/>
  <c r="BA123" i="11"/>
  <c r="BA124" i="11"/>
  <c r="AZ98" i="11"/>
  <c r="BA206" i="11"/>
  <c r="AZ43" i="11"/>
  <c r="BA36" i="11"/>
  <c r="AY49" i="11"/>
  <c r="BB130" i="11"/>
  <c r="BB156" i="11"/>
  <c r="BB62" i="11"/>
  <c r="BB15" i="11"/>
  <c r="BB104" i="11"/>
  <c r="AT253" i="11"/>
  <c r="AT223" i="11"/>
  <c r="AT225" i="11"/>
  <c r="AT228" i="11"/>
  <c r="AT46" i="11"/>
  <c r="AT52" i="11"/>
  <c r="BB131" i="11"/>
  <c r="BB157" i="11"/>
  <c r="BB63" i="11"/>
  <c r="BB105" i="11"/>
  <c r="BE25" i="11"/>
  <c r="BE33" i="11"/>
  <c r="BE32" i="11"/>
  <c r="AV44" i="11"/>
  <c r="AW37" i="11"/>
  <c r="AS226" i="11"/>
  <c r="AS247" i="11"/>
  <c r="AS231" i="11"/>
  <c r="BB203" i="11"/>
  <c r="AS254" i="11"/>
  <c r="AR256" i="11"/>
  <c r="AR248" i="11"/>
  <c r="BC155" i="11"/>
  <c r="BC129" i="11"/>
  <c r="BC87" i="11"/>
  <c r="BC95" i="11"/>
  <c r="BC61" i="11"/>
  <c r="BC14" i="11"/>
  <c r="BC13" i="11"/>
  <c r="BF24" i="11"/>
  <c r="BF28" i="11"/>
  <c r="BF29" i="11"/>
  <c r="BC103" i="11"/>
  <c r="BD10" i="11"/>
  <c r="AQ257" i="11"/>
  <c r="B257" i="11"/>
  <c r="B256" i="11"/>
  <c r="AQ259" i="11"/>
  <c r="AU50" i="11"/>
  <c r="AU51" i="11"/>
  <c r="AU45" i="11"/>
  <c r="BA64" i="11"/>
  <c r="BA97" i="11"/>
  <c r="O2" i="9"/>
  <c r="O4" i="9"/>
  <c r="O5" i="9"/>
  <c r="P7" i="9"/>
  <c r="U8" i="9"/>
  <c r="P17" i="9"/>
  <c r="S17" i="9"/>
  <c r="J28" i="9"/>
  <c r="BB204" i="11"/>
  <c r="BB106" i="11"/>
  <c r="BB123" i="11"/>
  <c r="BB124" i="11"/>
  <c r="AT229" i="11"/>
  <c r="BB158" i="11"/>
  <c r="BB175" i="11"/>
  <c r="BB176" i="11"/>
  <c r="BB64" i="11"/>
  <c r="BB97" i="11"/>
  <c r="BB132" i="11"/>
  <c r="BB149" i="11"/>
  <c r="BB150" i="11"/>
  <c r="BA43" i="11"/>
  <c r="BB36" i="11"/>
  <c r="AZ49" i="11"/>
  <c r="AU223" i="11"/>
  <c r="AU225" i="11"/>
  <c r="AU228" i="11"/>
  <c r="AU253" i="11"/>
  <c r="AU46" i="11"/>
  <c r="AU52" i="11"/>
  <c r="AS256" i="11"/>
  <c r="AS248" i="11"/>
  <c r="AT226" i="11"/>
  <c r="AT247" i="11"/>
  <c r="AT231" i="11"/>
  <c r="BF25" i="11"/>
  <c r="BF33" i="11"/>
  <c r="BF32" i="11"/>
  <c r="AT254" i="11"/>
  <c r="AW44" i="11"/>
  <c r="AX37" i="11"/>
  <c r="BC130" i="11"/>
  <c r="BC156" i="11"/>
  <c r="BC62" i="11"/>
  <c r="BC15" i="11"/>
  <c r="BC104" i="11"/>
  <c r="BC203" i="11"/>
  <c r="AV50" i="11"/>
  <c r="AV51" i="11"/>
  <c r="AV45" i="11"/>
  <c r="AQ260" i="11"/>
  <c r="B259" i="11"/>
  <c r="U9" i="9"/>
  <c r="U10" i="9"/>
  <c r="BC157" i="11"/>
  <c r="BC131" i="11"/>
  <c r="BC63" i="11"/>
  <c r="BC105" i="11"/>
  <c r="BD155" i="11"/>
  <c r="BD129" i="11"/>
  <c r="BD87" i="11"/>
  <c r="BD95" i="11"/>
  <c r="BD61" i="11"/>
  <c r="BD14" i="11"/>
  <c r="BD13" i="11"/>
  <c r="BG24" i="11"/>
  <c r="BG28" i="11"/>
  <c r="BG29" i="11"/>
  <c r="BD103" i="11"/>
  <c r="BE10" i="11"/>
  <c r="AR257" i="11"/>
  <c r="AR259" i="11"/>
  <c r="BA98" i="11"/>
  <c r="BB205" i="11"/>
  <c r="BB206" i="11"/>
  <c r="BB98" i="11"/>
  <c r="BC204" i="11"/>
  <c r="AU229" i="11"/>
  <c r="BC205" i="11"/>
  <c r="BC206" i="11"/>
  <c r="BC158" i="11"/>
  <c r="BC175" i="11"/>
  <c r="BC176" i="11"/>
  <c r="BC132" i="11"/>
  <c r="BC149" i="11"/>
  <c r="BC150" i="11"/>
  <c r="BC106" i="11"/>
  <c r="BC123" i="11"/>
  <c r="BC124" i="11"/>
  <c r="BB43" i="11"/>
  <c r="BC36" i="11"/>
  <c r="AR260" i="11"/>
  <c r="AR261" i="11"/>
  <c r="BA49" i="11"/>
  <c r="BD156" i="11"/>
  <c r="BD130" i="11"/>
  <c r="BD62" i="11"/>
  <c r="BD15" i="11"/>
  <c r="BD104" i="11"/>
  <c r="BG25" i="11"/>
  <c r="BG33" i="11"/>
  <c r="BG32" i="11"/>
  <c r="BD157" i="11"/>
  <c r="BD131" i="11"/>
  <c r="BD63" i="11"/>
  <c r="BD205" i="11"/>
  <c r="BD105" i="11"/>
  <c r="AT256" i="11"/>
  <c r="AT248" i="11"/>
  <c r="AS257" i="11"/>
  <c r="AS259" i="11"/>
  <c r="AX44" i="11"/>
  <c r="AY37" i="11"/>
  <c r="P26" i="9"/>
  <c r="S26" i="9"/>
  <c r="P18" i="9"/>
  <c r="AQ261" i="11"/>
  <c r="B260" i="11"/>
  <c r="AW50" i="11"/>
  <c r="AW51" i="11"/>
  <c r="AW45" i="11"/>
  <c r="AV253" i="11"/>
  <c r="AV228" i="11"/>
  <c r="AV223" i="11"/>
  <c r="AV225" i="11"/>
  <c r="AV46" i="11"/>
  <c r="AV52" i="11"/>
  <c r="AU254" i="11"/>
  <c r="BE155" i="11"/>
  <c r="BE129" i="11"/>
  <c r="BE87" i="11"/>
  <c r="BE95" i="11"/>
  <c r="BH28" i="11"/>
  <c r="BH29" i="11"/>
  <c r="BH24" i="11"/>
  <c r="BE61" i="11"/>
  <c r="BE14" i="11"/>
  <c r="BE13" i="11"/>
  <c r="BE103" i="11"/>
  <c r="BF10" i="11"/>
  <c r="AU226" i="11"/>
  <c r="AU247" i="11"/>
  <c r="AU231" i="11"/>
  <c r="P27" i="9"/>
  <c r="S27" i="9"/>
  <c r="P19" i="9"/>
  <c r="P25" i="9"/>
  <c r="S25" i="9"/>
  <c r="BD203" i="11"/>
  <c r="BC64" i="11"/>
  <c r="BC97" i="11"/>
  <c r="BD132" i="11"/>
  <c r="BD149" i="11"/>
  <c r="BD204" i="11"/>
  <c r="BD150" i="11"/>
  <c r="AV229" i="11"/>
  <c r="AS260" i="11"/>
  <c r="AS261" i="11"/>
  <c r="P21" i="9"/>
  <c r="S21" i="9"/>
  <c r="P22" i="9"/>
  <c r="S22" i="9"/>
  <c r="S18" i="9"/>
  <c r="P23" i="9"/>
  <c r="S23" i="9"/>
  <c r="S19" i="9"/>
  <c r="BD106" i="11"/>
  <c r="BD123" i="11"/>
  <c r="BD124" i="11"/>
  <c r="BD158" i="11"/>
  <c r="BD175" i="11"/>
  <c r="BD176" i="11"/>
  <c r="BC43" i="11"/>
  <c r="BD36" i="11"/>
  <c r="BB49" i="11"/>
  <c r="AX50" i="11"/>
  <c r="AX51" i="11"/>
  <c r="AX45" i="11"/>
  <c r="BD206" i="11"/>
  <c r="BE156" i="11"/>
  <c r="BE158" i="11"/>
  <c r="BE175" i="11"/>
  <c r="BE130" i="11"/>
  <c r="BE132" i="11"/>
  <c r="BE149" i="11"/>
  <c r="BE150" i="11"/>
  <c r="BE15" i="11"/>
  <c r="BE62" i="11"/>
  <c r="BE104" i="11"/>
  <c r="AV226" i="11"/>
  <c r="AV247" i="11"/>
  <c r="AV231" i="11"/>
  <c r="BD64" i="11"/>
  <c r="BD97" i="11"/>
  <c r="BE203" i="11"/>
  <c r="AV254" i="11"/>
  <c r="BC98" i="11"/>
  <c r="BH25" i="11"/>
  <c r="BH33" i="11"/>
  <c r="BH32" i="11"/>
  <c r="AW228" i="11"/>
  <c r="AW223" i="11"/>
  <c r="AW225" i="11"/>
  <c r="AW253" i="11"/>
  <c r="AW46" i="11"/>
  <c r="AW52" i="11"/>
  <c r="AU256" i="11"/>
  <c r="AU248" i="11"/>
  <c r="BF155" i="11"/>
  <c r="BF129" i="11"/>
  <c r="BF87" i="11"/>
  <c r="BF95" i="11"/>
  <c r="BF61" i="11"/>
  <c r="BI28" i="11"/>
  <c r="BI29" i="11"/>
  <c r="BI24" i="11"/>
  <c r="BF14" i="11"/>
  <c r="BF13" i="11"/>
  <c r="BF103" i="11"/>
  <c r="BG10" i="11"/>
  <c r="AT257" i="11"/>
  <c r="AT259" i="11"/>
  <c r="AY44" i="11"/>
  <c r="AZ37" i="11"/>
  <c r="BE157" i="11"/>
  <c r="BE131" i="11"/>
  <c r="BE63" i="11"/>
  <c r="BE105" i="11"/>
  <c r="K7" i="9"/>
  <c r="BE204" i="11"/>
  <c r="BE176" i="11"/>
  <c r="AW229" i="11"/>
  <c r="AT260" i="11"/>
  <c r="AT261" i="11"/>
  <c r="BE106" i="11"/>
  <c r="BE123" i="11"/>
  <c r="BE124" i="11"/>
  <c r="BD43" i="11"/>
  <c r="BE36" i="11"/>
  <c r="BC49" i="11"/>
  <c r="BE64" i="11"/>
  <c r="BE97" i="11"/>
  <c r="AU257" i="11"/>
  <c r="AU259" i="11"/>
  <c r="AX253" i="11"/>
  <c r="AX223" i="11"/>
  <c r="AX225" i="11"/>
  <c r="AX228" i="11"/>
  <c r="AX46" i="11"/>
  <c r="AX52" i="11"/>
  <c r="AY45" i="11"/>
  <c r="AY50" i="11"/>
  <c r="AY51" i="11"/>
  <c r="BG155" i="11"/>
  <c r="BG87" i="11"/>
  <c r="BG95" i="11"/>
  <c r="BG129" i="11"/>
  <c r="BG61" i="11"/>
  <c r="BG14" i="11"/>
  <c r="BG13" i="11"/>
  <c r="BJ24" i="11"/>
  <c r="BJ28" i="11"/>
  <c r="BJ29" i="11"/>
  <c r="BG103" i="11"/>
  <c r="BH10" i="11"/>
  <c r="BD98" i="11"/>
  <c r="AW254" i="11"/>
  <c r="BF156" i="11"/>
  <c r="BF15" i="11"/>
  <c r="BF130" i="11"/>
  <c r="BF62" i="11"/>
  <c r="BF204" i="11"/>
  <c r="BF104" i="11"/>
  <c r="AW226" i="11"/>
  <c r="AW231" i="11"/>
  <c r="AW247" i="11"/>
  <c r="BF157" i="11"/>
  <c r="BF131" i="11"/>
  <c r="BF63" i="11"/>
  <c r="BF105" i="11"/>
  <c r="AV256" i="11"/>
  <c r="AV248" i="11"/>
  <c r="BF203" i="11"/>
  <c r="AZ44" i="11"/>
  <c r="BA37" i="11"/>
  <c r="BE205" i="11"/>
  <c r="BE206" i="11"/>
  <c r="BI25" i="11"/>
  <c r="BI33" i="11"/>
  <c r="BI32" i="11"/>
  <c r="AX229" i="11"/>
  <c r="BF64" i="11"/>
  <c r="BF97" i="11"/>
  <c r="AU260" i="11"/>
  <c r="AU261" i="11"/>
  <c r="BF106" i="11"/>
  <c r="BF123" i="11"/>
  <c r="BF124" i="11"/>
  <c r="BF132" i="11"/>
  <c r="BF149" i="11"/>
  <c r="BF150" i="11"/>
  <c r="BF158" i="11"/>
  <c r="BF175" i="11"/>
  <c r="BF176" i="11"/>
  <c r="BE43" i="11"/>
  <c r="BF36" i="11"/>
  <c r="BD49" i="11"/>
  <c r="AZ45" i="11"/>
  <c r="AZ50" i="11"/>
  <c r="AZ51" i="11"/>
  <c r="BA44" i="11"/>
  <c r="BB37" i="11"/>
  <c r="BH87" i="11"/>
  <c r="BH95" i="11"/>
  <c r="BH129" i="11"/>
  <c r="BH155" i="11"/>
  <c r="BH61" i="11"/>
  <c r="BK28" i="11"/>
  <c r="BK29" i="11"/>
  <c r="BK24" i="11"/>
  <c r="BH14" i="11"/>
  <c r="BH13" i="11"/>
  <c r="BH103" i="11"/>
  <c r="BI10" i="11"/>
  <c r="AX226" i="11"/>
  <c r="AX247" i="11"/>
  <c r="AX231" i="11"/>
  <c r="AY223" i="11"/>
  <c r="AY225" i="11"/>
  <c r="AY228" i="11"/>
  <c r="AY253" i="11"/>
  <c r="AY46" i="11"/>
  <c r="AY52" i="11"/>
  <c r="BJ25" i="11"/>
  <c r="BJ33" i="11"/>
  <c r="BJ32" i="11"/>
  <c r="AX254" i="11"/>
  <c r="BF205" i="11"/>
  <c r="BF206" i="11"/>
  <c r="BG156" i="11"/>
  <c r="BG130" i="11"/>
  <c r="BG62" i="11"/>
  <c r="BG15" i="11"/>
  <c r="BG104" i="11"/>
  <c r="BG157" i="11"/>
  <c r="BG131" i="11"/>
  <c r="BG63" i="11"/>
  <c r="BG105" i="11"/>
  <c r="BG203" i="11"/>
  <c r="AV257" i="11"/>
  <c r="AV259" i="11"/>
  <c r="AW256" i="11"/>
  <c r="AW248" i="11"/>
  <c r="BE98" i="11"/>
  <c r="BF98" i="11"/>
  <c r="AY229" i="11"/>
  <c r="BG106" i="11"/>
  <c r="BG123" i="11"/>
  <c r="BG124" i="11"/>
  <c r="AV260" i="11"/>
  <c r="AV261" i="11"/>
  <c r="BG204" i="11"/>
  <c r="BG158" i="11"/>
  <c r="BG175" i="11"/>
  <c r="BG176" i="11"/>
  <c r="BG132" i="11"/>
  <c r="BG149" i="11"/>
  <c r="BG150" i="11"/>
  <c r="BF43" i="11"/>
  <c r="BG36" i="11"/>
  <c r="BE49" i="11"/>
  <c r="BK25" i="11"/>
  <c r="BK33" i="11"/>
  <c r="BK32" i="11"/>
  <c r="BH203" i="11"/>
  <c r="AY254" i="11"/>
  <c r="AY226" i="11"/>
  <c r="AY231" i="11"/>
  <c r="AY247" i="11"/>
  <c r="AX256" i="11"/>
  <c r="AX248" i="11"/>
  <c r="BB44" i="11"/>
  <c r="BC37" i="11"/>
  <c r="BH157" i="11"/>
  <c r="BH131" i="11"/>
  <c r="BH63" i="11"/>
  <c r="BH105" i="11"/>
  <c r="BH106" i="11"/>
  <c r="BH123" i="11"/>
  <c r="BH124" i="11"/>
  <c r="BG64" i="11"/>
  <c r="BG97" i="11"/>
  <c r="BA45" i="11"/>
  <c r="BA50" i="11"/>
  <c r="BA51" i="11"/>
  <c r="BI155" i="11"/>
  <c r="BI129" i="11"/>
  <c r="BI61" i="11"/>
  <c r="BI87" i="11"/>
  <c r="BI95" i="11"/>
  <c r="BI14" i="11"/>
  <c r="BI13" i="11"/>
  <c r="BL24" i="11"/>
  <c r="BL28" i="11"/>
  <c r="BL29" i="11"/>
  <c r="BI103" i="11"/>
  <c r="BJ10" i="11"/>
  <c r="AW257" i="11"/>
  <c r="AW259" i="11"/>
  <c r="BG205" i="11"/>
  <c r="BG206" i="11"/>
  <c r="BH156" i="11"/>
  <c r="BH130" i="11"/>
  <c r="BH132" i="11"/>
  <c r="BH149" i="11"/>
  <c r="BH150" i="11"/>
  <c r="BH62" i="11"/>
  <c r="BH204" i="11"/>
  <c r="BH15" i="11"/>
  <c r="BH104" i="11"/>
  <c r="AZ253" i="11"/>
  <c r="AZ223" i="11"/>
  <c r="AZ225" i="11"/>
  <c r="AZ228" i="11"/>
  <c r="AZ46" i="11"/>
  <c r="AZ52" i="11"/>
  <c r="AZ229" i="11"/>
  <c r="AW260" i="11"/>
  <c r="AW261" i="11"/>
  <c r="BH205" i="11"/>
  <c r="BH158" i="11"/>
  <c r="BH175" i="11"/>
  <c r="BH176" i="11"/>
  <c r="BG43" i="11"/>
  <c r="BH36" i="11"/>
  <c r="BF49" i="11"/>
  <c r="BA228" i="11"/>
  <c r="BA253" i="11"/>
  <c r="BA223" i="11"/>
  <c r="BA225" i="11"/>
  <c r="BA46" i="11"/>
  <c r="BA52" i="11"/>
  <c r="BG98" i="11"/>
  <c r="BI156" i="11"/>
  <c r="BI130" i="11"/>
  <c r="BI62" i="11"/>
  <c r="BI15" i="11"/>
  <c r="BI104" i="11"/>
  <c r="AY248" i="11"/>
  <c r="AY256" i="11"/>
  <c r="AZ254" i="11"/>
  <c r="BI157" i="11"/>
  <c r="BI131" i="11"/>
  <c r="BI63" i="11"/>
  <c r="BI105" i="11"/>
  <c r="BI106" i="11"/>
  <c r="BI123" i="11"/>
  <c r="BI124" i="11"/>
  <c r="BC44" i="11"/>
  <c r="BD37" i="11"/>
  <c r="BH64" i="11"/>
  <c r="BH97" i="11"/>
  <c r="BL25" i="11"/>
  <c r="BL33" i="11"/>
  <c r="BL32" i="11"/>
  <c r="BI203" i="11"/>
  <c r="BB50" i="11"/>
  <c r="BB51" i="11"/>
  <c r="BB45" i="11"/>
  <c r="BH206" i="11"/>
  <c r="BJ129" i="11"/>
  <c r="BJ155" i="11"/>
  <c r="BJ61" i="11"/>
  <c r="BM28" i="11"/>
  <c r="BM29" i="11"/>
  <c r="BM24" i="11"/>
  <c r="BJ87" i="11"/>
  <c r="BJ95" i="11"/>
  <c r="BJ14" i="11"/>
  <c r="BJ13" i="11"/>
  <c r="BK10" i="11"/>
  <c r="BJ103" i="11"/>
  <c r="AZ226" i="11"/>
  <c r="AZ247" i="11"/>
  <c r="AZ231" i="11"/>
  <c r="AX257" i="11"/>
  <c r="AX259" i="11"/>
  <c r="BA229" i="11"/>
  <c r="BI158" i="11"/>
  <c r="BI175" i="11"/>
  <c r="BI176" i="11"/>
  <c r="BI132" i="11"/>
  <c r="BI149" i="11"/>
  <c r="BI150" i="11"/>
  <c r="AX260" i="11"/>
  <c r="AX261" i="11"/>
  <c r="BI204" i="11"/>
  <c r="BI206" i="11"/>
  <c r="BI205" i="11"/>
  <c r="BH43" i="11"/>
  <c r="BI36" i="11"/>
  <c r="BG49" i="11"/>
  <c r="BD44" i="11"/>
  <c r="BE37" i="11"/>
  <c r="BH98" i="11"/>
  <c r="BC45" i="11"/>
  <c r="BC50" i="11"/>
  <c r="BC51" i="11"/>
  <c r="BB228" i="11"/>
  <c r="BB253" i="11"/>
  <c r="BB223" i="11"/>
  <c r="BB225" i="11"/>
  <c r="BB46" i="11"/>
  <c r="BB52" i="11"/>
  <c r="AZ256" i="11"/>
  <c r="AZ248" i="11"/>
  <c r="BK155" i="11"/>
  <c r="BK129" i="11"/>
  <c r="BK61" i="11"/>
  <c r="BN28" i="11"/>
  <c r="BN29" i="11"/>
  <c r="BN24" i="11"/>
  <c r="BK87" i="11"/>
  <c r="BK95" i="11"/>
  <c r="BL10" i="11"/>
  <c r="BK14" i="11"/>
  <c r="BK13" i="11"/>
  <c r="BK103" i="11"/>
  <c r="BJ203" i="11"/>
  <c r="BJ156" i="11"/>
  <c r="BJ130" i="11"/>
  <c r="BJ62" i="11"/>
  <c r="BJ15" i="11"/>
  <c r="BJ104" i="11"/>
  <c r="BI64" i="11"/>
  <c r="BI97" i="11"/>
  <c r="BJ157" i="11"/>
  <c r="BJ131" i="11"/>
  <c r="BJ63" i="11"/>
  <c r="BJ105" i="11"/>
  <c r="AY257" i="11"/>
  <c r="AY259" i="11"/>
  <c r="BA226" i="11"/>
  <c r="BA231" i="11"/>
  <c r="BA247" i="11"/>
  <c r="BA254" i="11"/>
  <c r="BM25" i="11"/>
  <c r="BM33" i="11"/>
  <c r="BM32" i="11"/>
  <c r="K8" i="9"/>
  <c r="K12" i="9"/>
  <c r="BB229" i="11"/>
  <c r="BJ158" i="11"/>
  <c r="BJ175" i="11"/>
  <c r="BJ176" i="11"/>
  <c r="AY260" i="11"/>
  <c r="AY261" i="11"/>
  <c r="BJ106" i="11"/>
  <c r="BJ123" i="11"/>
  <c r="BJ124" i="11"/>
  <c r="BJ204" i="11"/>
  <c r="BJ132" i="11"/>
  <c r="BJ149" i="11"/>
  <c r="BJ150" i="11"/>
  <c r="BI43" i="11"/>
  <c r="BJ36" i="11"/>
  <c r="BH49" i="11"/>
  <c r="K13" i="9"/>
  <c r="K19" i="9"/>
  <c r="BK157" i="11"/>
  <c r="BK158" i="11"/>
  <c r="BK175" i="11"/>
  <c r="BK176" i="11"/>
  <c r="BK131" i="11"/>
  <c r="BK63" i="11"/>
  <c r="BK105" i="11"/>
  <c r="BB254" i="11"/>
  <c r="BA248" i="11"/>
  <c r="BA256" i="11"/>
  <c r="BK156" i="11"/>
  <c r="BK130" i="11"/>
  <c r="BK62" i="11"/>
  <c r="BK15" i="11"/>
  <c r="BK104" i="11"/>
  <c r="BC253" i="11"/>
  <c r="BC223" i="11"/>
  <c r="BC225" i="11"/>
  <c r="BC224" i="11"/>
  <c r="BC228" i="11"/>
  <c r="BC46" i="11"/>
  <c r="BC52" i="11"/>
  <c r="BL155" i="11"/>
  <c r="BL129" i="11"/>
  <c r="BL61" i="11"/>
  <c r="BO28" i="11"/>
  <c r="BO29" i="11"/>
  <c r="BO24" i="11"/>
  <c r="BL87" i="11"/>
  <c r="BL95" i="11"/>
  <c r="BL14" i="11"/>
  <c r="BL13" i="11"/>
  <c r="BL103" i="11"/>
  <c r="BM10" i="11"/>
  <c r="BK203" i="11"/>
  <c r="BN25" i="11"/>
  <c r="BN33" i="11"/>
  <c r="BN32" i="11"/>
  <c r="BI98" i="11"/>
  <c r="BE44" i="11"/>
  <c r="BF37" i="11"/>
  <c r="BB226" i="11"/>
  <c r="BB247" i="11"/>
  <c r="BB231" i="11"/>
  <c r="BJ64" i="11"/>
  <c r="BJ97" i="11"/>
  <c r="BJ205" i="11"/>
  <c r="BJ206" i="11"/>
  <c r="AZ257" i="11"/>
  <c r="AZ259" i="11"/>
  <c r="BD50" i="11"/>
  <c r="BD51" i="11"/>
  <c r="BD45" i="11"/>
  <c r="BC229" i="11"/>
  <c r="AZ260" i="11"/>
  <c r="AZ261" i="11"/>
  <c r="K20" i="9"/>
  <c r="BK106" i="11"/>
  <c r="BK123" i="11"/>
  <c r="BK124" i="11"/>
  <c r="BK205" i="11"/>
  <c r="BK206" i="11"/>
  <c r="BK204" i="11"/>
  <c r="BK132" i="11"/>
  <c r="BK149" i="11"/>
  <c r="BK150" i="11"/>
  <c r="BK64" i="11"/>
  <c r="BK97" i="11"/>
  <c r="BJ43" i="11"/>
  <c r="BK36" i="11"/>
  <c r="BI49" i="11"/>
  <c r="BE50" i="11"/>
  <c r="BE51" i="11"/>
  <c r="BE45" i="11"/>
  <c r="BM155" i="11"/>
  <c r="BM129" i="11"/>
  <c r="BM87" i="11"/>
  <c r="BM95" i="11"/>
  <c r="BM61" i="11"/>
  <c r="BM14" i="11"/>
  <c r="BM13" i="11"/>
  <c r="BN10" i="11"/>
  <c r="BM103" i="11"/>
  <c r="BD253" i="11"/>
  <c r="BD223" i="11"/>
  <c r="BD225" i="11"/>
  <c r="BD228" i="11"/>
  <c r="BD46" i="11"/>
  <c r="BD52" i="11"/>
  <c r="BB256" i="11"/>
  <c r="BB248" i="11"/>
  <c r="BF44" i="11"/>
  <c r="BG37" i="11"/>
  <c r="BL156" i="11"/>
  <c r="BL130" i="11"/>
  <c r="BL15" i="11"/>
  <c r="BL62" i="11"/>
  <c r="BL104" i="11"/>
  <c r="BC254" i="11"/>
  <c r="BL157" i="11"/>
  <c r="BL131" i="11"/>
  <c r="BL63" i="11"/>
  <c r="BL105" i="11"/>
  <c r="BA257" i="11"/>
  <c r="BA259" i="11"/>
  <c r="BO25" i="11"/>
  <c r="BO33" i="11"/>
  <c r="BO32" i="11"/>
  <c r="BC226" i="11"/>
  <c r="BC231" i="11"/>
  <c r="BC247" i="11"/>
  <c r="BJ98" i="11"/>
  <c r="BL203" i="11"/>
  <c r="K22" i="9"/>
  <c r="BD229" i="11"/>
  <c r="BK98" i="11"/>
  <c r="BL205" i="11"/>
  <c r="BA260" i="11"/>
  <c r="BA261" i="11"/>
  <c r="BL64" i="11"/>
  <c r="BL97" i="11"/>
  <c r="BL106" i="11"/>
  <c r="BL123" i="11"/>
  <c r="BL124" i="11"/>
  <c r="BL132" i="11"/>
  <c r="BL149" i="11"/>
  <c r="BL150" i="11"/>
  <c r="BL158" i="11"/>
  <c r="BL175" i="11"/>
  <c r="BL176" i="11"/>
  <c r="BK43" i="11"/>
  <c r="BL36" i="11"/>
  <c r="BJ49" i="11"/>
  <c r="K24" i="9"/>
  <c r="K27" i="9"/>
  <c r="K28" i="9"/>
  <c r="BN155" i="11"/>
  <c r="BN129" i="11"/>
  <c r="BN87" i="11"/>
  <c r="BN95" i="11"/>
  <c r="BN61" i="11"/>
  <c r="BN14" i="11"/>
  <c r="BN13" i="11"/>
  <c r="BO10" i="11"/>
  <c r="BN103" i="11"/>
  <c r="BM131" i="11"/>
  <c r="BM157" i="11"/>
  <c r="BM63" i="11"/>
  <c r="BM105" i="11"/>
  <c r="BM203" i="11"/>
  <c r="BB257" i="11"/>
  <c r="BB259" i="11"/>
  <c r="BF45" i="11"/>
  <c r="BF50" i="11"/>
  <c r="BF51" i="11"/>
  <c r="BE228" i="11"/>
  <c r="BE253" i="11"/>
  <c r="BE223" i="11"/>
  <c r="BE225" i="11"/>
  <c r="BE46" i="11"/>
  <c r="BE52" i="11"/>
  <c r="BL98" i="11"/>
  <c r="BG44" i="11"/>
  <c r="BH37" i="11"/>
  <c r="BD226" i="11"/>
  <c r="BD247" i="11"/>
  <c r="BD231" i="11"/>
  <c r="BD254" i="11"/>
  <c r="BM156" i="11"/>
  <c r="BM130" i="11"/>
  <c r="BM62" i="11"/>
  <c r="BM15" i="11"/>
  <c r="BM104" i="11"/>
  <c r="BM106" i="11"/>
  <c r="BM123" i="11"/>
  <c r="BM124" i="11"/>
  <c r="BC256" i="11"/>
  <c r="BC248" i="11"/>
  <c r="BL204" i="11"/>
  <c r="BL206" i="11"/>
  <c r="BE229" i="11"/>
  <c r="BM158" i="11"/>
  <c r="BM175" i="11"/>
  <c r="BM176" i="11"/>
  <c r="BB260" i="11"/>
  <c r="BB261" i="11"/>
  <c r="BM204" i="11"/>
  <c r="BM132" i="11"/>
  <c r="BM149" i="11"/>
  <c r="BM150" i="11"/>
  <c r="BL43" i="11"/>
  <c r="BM36" i="11"/>
  <c r="BK49" i="11"/>
  <c r="BE254" i="11"/>
  <c r="BO87" i="11"/>
  <c r="BO95" i="11"/>
  <c r="BO155" i="11"/>
  <c r="BO129" i="11"/>
  <c r="BO14" i="11"/>
  <c r="BO13" i="11"/>
  <c r="BO61" i="11"/>
  <c r="BO103" i="11"/>
  <c r="BN130" i="11"/>
  <c r="BN156" i="11"/>
  <c r="BN15" i="11"/>
  <c r="BN62" i="11"/>
  <c r="BN104" i="11"/>
  <c r="BF253" i="11"/>
  <c r="BF223" i="11"/>
  <c r="BF225" i="11"/>
  <c r="BF228" i="11"/>
  <c r="BF46" i="11"/>
  <c r="BF52" i="11"/>
  <c r="BC257" i="11"/>
  <c r="BC259" i="11"/>
  <c r="BH44" i="11"/>
  <c r="BI37" i="11"/>
  <c r="BN131" i="11"/>
  <c r="BN157" i="11"/>
  <c r="BN63" i="11"/>
  <c r="BN105" i="11"/>
  <c r="BD256" i="11"/>
  <c r="BD248" i="11"/>
  <c r="BG50" i="11"/>
  <c r="BG51" i="11"/>
  <c r="BG45" i="11"/>
  <c r="BN203" i="11"/>
  <c r="BM64" i="11"/>
  <c r="BM97" i="11"/>
  <c r="BM205" i="11"/>
  <c r="BM206" i="11"/>
  <c r="BE226" i="11"/>
  <c r="BE247" i="11"/>
  <c r="BE231" i="11"/>
  <c r="BC260" i="11"/>
  <c r="BC261" i="11"/>
  <c r="BF229" i="11"/>
  <c r="BN64" i="11"/>
  <c r="BN97" i="11"/>
  <c r="BN132" i="11"/>
  <c r="BN149" i="11"/>
  <c r="BN150" i="11"/>
  <c r="BN158" i="11"/>
  <c r="BN175" i="11"/>
  <c r="BN176" i="11"/>
  <c r="BN106" i="11"/>
  <c r="BN123" i="11"/>
  <c r="BN124" i="11"/>
  <c r="BN204" i="11"/>
  <c r="BN205" i="11"/>
  <c r="BN206" i="11"/>
  <c r="BM43" i="11"/>
  <c r="BN36" i="11"/>
  <c r="BL49" i="11"/>
  <c r="BO130" i="11"/>
  <c r="BO156" i="11"/>
  <c r="BO15" i="11"/>
  <c r="BO62" i="11"/>
  <c r="BO104" i="11"/>
  <c r="BG253" i="11"/>
  <c r="BG223" i="11"/>
  <c r="BG225" i="11"/>
  <c r="BG228" i="11"/>
  <c r="BG46" i="11"/>
  <c r="BG52" i="11"/>
  <c r="BO157" i="11"/>
  <c r="BO131" i="11"/>
  <c r="BO63" i="11"/>
  <c r="BO105" i="11"/>
  <c r="BM98" i="11"/>
  <c r="BN98" i="11"/>
  <c r="BE256" i="11"/>
  <c r="BE248" i="11"/>
  <c r="BF254" i="11"/>
  <c r="BH50" i="11"/>
  <c r="BH51" i="11"/>
  <c r="BH45" i="11"/>
  <c r="BF226" i="11"/>
  <c r="BF247" i="11"/>
  <c r="BF231" i="11"/>
  <c r="BD257" i="11"/>
  <c r="BD259" i="11"/>
  <c r="BO203" i="11"/>
  <c r="BI44" i="11"/>
  <c r="BJ37" i="11"/>
  <c r="BD260" i="11"/>
  <c r="BD261" i="11"/>
  <c r="BG229" i="11"/>
  <c r="BO106" i="11"/>
  <c r="BO123" i="11"/>
  <c r="BO124" i="11"/>
  <c r="BO204" i="11"/>
  <c r="BO132" i="11"/>
  <c r="BO149" i="11"/>
  <c r="BO150" i="11"/>
  <c r="BO158" i="11"/>
  <c r="BO175" i="11"/>
  <c r="BO176" i="11"/>
  <c r="BN43" i="11"/>
  <c r="BO36" i="11"/>
  <c r="BO43" i="11"/>
  <c r="BM49" i="11"/>
  <c r="BE257" i="11"/>
  <c r="BE259" i="11"/>
  <c r="BG226" i="11"/>
  <c r="BG247" i="11"/>
  <c r="BG231" i="11"/>
  <c r="BG254" i="11"/>
  <c r="BJ44" i="11"/>
  <c r="BK37" i="11"/>
  <c r="BH253" i="11"/>
  <c r="BH228" i="11"/>
  <c r="BH223" i="11"/>
  <c r="BH225" i="11"/>
  <c r="BH46" i="11"/>
  <c r="BH52" i="11"/>
  <c r="BF256" i="11"/>
  <c r="BF248" i="11"/>
  <c r="BI50" i="11"/>
  <c r="BI51" i="11"/>
  <c r="BI45" i="11"/>
  <c r="BO64" i="11"/>
  <c r="BO97" i="11"/>
  <c r="BO205" i="11"/>
  <c r="BO206" i="11"/>
  <c r="L7" i="9"/>
  <c r="BE260" i="11"/>
  <c r="BE261" i="11"/>
  <c r="BH229" i="11"/>
  <c r="BN49" i="11"/>
  <c r="BO49" i="11"/>
  <c r="BK44" i="11"/>
  <c r="BL37" i="11"/>
  <c r="BJ50" i="11"/>
  <c r="BJ51" i="11"/>
  <c r="BJ45" i="11"/>
  <c r="BI228" i="11"/>
  <c r="BI253" i="11"/>
  <c r="BI223" i="11"/>
  <c r="BI225" i="11"/>
  <c r="BI46" i="11"/>
  <c r="BI52" i="11"/>
  <c r="BF257" i="11"/>
  <c r="BF259" i="11"/>
  <c r="BG256" i="11"/>
  <c r="BG248" i="11"/>
  <c r="BH254" i="11"/>
  <c r="BO98" i="11"/>
  <c r="BH226" i="11"/>
  <c r="BH231" i="11"/>
  <c r="BH247" i="11"/>
  <c r="BF260" i="11"/>
  <c r="BF261" i="11"/>
  <c r="BI229" i="11"/>
  <c r="BJ253" i="11"/>
  <c r="BJ228" i="11"/>
  <c r="BJ223" i="11"/>
  <c r="BJ225" i="11"/>
  <c r="BJ46" i="11"/>
  <c r="BJ52" i="11"/>
  <c r="BH256" i="11"/>
  <c r="BH248" i="11"/>
  <c r="BI254" i="11"/>
  <c r="BL44" i="11"/>
  <c r="BM37" i="11"/>
  <c r="BI226" i="11"/>
  <c r="BI247" i="11"/>
  <c r="BI231" i="11"/>
  <c r="BK45" i="11"/>
  <c r="BK50" i="11"/>
  <c r="BK51" i="11"/>
  <c r="BG257" i="11"/>
  <c r="BG259" i="11"/>
  <c r="BG260" i="11"/>
  <c r="BG261" i="11"/>
  <c r="BJ229" i="11"/>
  <c r="BM44" i="11"/>
  <c r="BN37" i="11"/>
  <c r="BH257" i="11"/>
  <c r="BH259" i="11"/>
  <c r="BL50" i="11"/>
  <c r="BL51" i="11"/>
  <c r="BL45" i="11"/>
  <c r="BK223" i="11"/>
  <c r="BK225" i="11"/>
  <c r="BK228" i="11"/>
  <c r="BK229" i="11"/>
  <c r="BK253" i="11"/>
  <c r="BK46" i="11"/>
  <c r="BK52" i="11"/>
  <c r="BJ226" i="11"/>
  <c r="BJ231" i="11"/>
  <c r="BJ247" i="11"/>
  <c r="BI256" i="11"/>
  <c r="BI248" i="11"/>
  <c r="BJ254" i="11"/>
  <c r="BH260" i="11"/>
  <c r="BH261" i="11"/>
  <c r="BK226" i="11"/>
  <c r="BK231" i="11"/>
  <c r="BK247" i="11"/>
  <c r="BL223" i="11"/>
  <c r="BL225" i="11"/>
  <c r="BL253" i="11"/>
  <c r="BL228" i="11"/>
  <c r="BL229" i="11"/>
  <c r="BL46" i="11"/>
  <c r="BL52" i="11"/>
  <c r="BK254" i="11"/>
  <c r="BI257" i="11"/>
  <c r="BI259" i="11"/>
  <c r="BJ256" i="11"/>
  <c r="BJ248" i="11"/>
  <c r="BN44" i="11"/>
  <c r="BO37" i="11"/>
  <c r="BO44" i="11"/>
  <c r="BM50" i="11"/>
  <c r="BM51" i="11"/>
  <c r="BM45" i="11"/>
  <c r="BI260" i="11"/>
  <c r="BI261" i="11"/>
  <c r="BL254" i="11"/>
  <c r="BL226" i="11"/>
  <c r="BL247" i="11"/>
  <c r="BL231" i="11"/>
  <c r="BN50" i="11"/>
  <c r="BN51" i="11"/>
  <c r="BN45" i="11"/>
  <c r="BK248" i="11"/>
  <c r="BK256" i="11"/>
  <c r="BM228" i="11"/>
  <c r="BM229" i="11"/>
  <c r="BM253" i="11"/>
  <c r="BM223" i="11"/>
  <c r="BM225" i="11"/>
  <c r="BM46" i="11"/>
  <c r="BM52" i="11"/>
  <c r="BO45" i="11"/>
  <c r="BJ257" i="11"/>
  <c r="BJ259" i="11"/>
  <c r="L12" i="9"/>
  <c r="L8" i="9"/>
  <c r="BJ260" i="11"/>
  <c r="BJ261" i="11"/>
  <c r="F5" i="5" a="1"/>
  <c r="F5" i="5"/>
  <c r="L13" i="9"/>
  <c r="L19" i="9"/>
  <c r="BK257" i="11"/>
  <c r="BK259" i="11"/>
  <c r="BM254" i="11"/>
  <c r="BN228" i="11"/>
  <c r="BN229" i="11"/>
  <c r="BN253" i="11"/>
  <c r="BN223" i="11"/>
  <c r="BN225" i="11"/>
  <c r="BN46" i="11"/>
  <c r="BN52" i="11"/>
  <c r="BL256" i="11"/>
  <c r="BL248" i="11"/>
  <c r="BO50" i="11"/>
  <c r="BO51" i="11"/>
  <c r="BO253" i="11"/>
  <c r="BO224" i="11"/>
  <c r="BO228" i="11"/>
  <c r="BO223" i="11"/>
  <c r="BO225" i="11"/>
  <c r="BM226" i="11"/>
  <c r="BM231" i="11"/>
  <c r="BM247" i="11"/>
  <c r="BK260" i="11"/>
  <c r="BK261" i="11"/>
  <c r="L20" i="9"/>
  <c r="G5" i="5" a="1"/>
  <c r="G5" i="5"/>
  <c r="BN226" i="11"/>
  <c r="BO226" i="11"/>
  <c r="BN231" i="11"/>
  <c r="BN247" i="11"/>
  <c r="BN254" i="11"/>
  <c r="BO254" i="11"/>
  <c r="BO229" i="11"/>
  <c r="B228" i="11"/>
  <c r="BO46" i="11"/>
  <c r="BO52" i="11"/>
  <c r="B225" i="11"/>
  <c r="BO231" i="11"/>
  <c r="BO247" i="11"/>
  <c r="BM248" i="11"/>
  <c r="BM256" i="11"/>
  <c r="BL257" i="11"/>
  <c r="BL259" i="11"/>
  <c r="BL260" i="11"/>
  <c r="BL261" i="11"/>
  <c r="L22" i="9"/>
  <c r="B231" i="11"/>
  <c r="L24" i="9"/>
  <c r="L27" i="9"/>
  <c r="BN256" i="11"/>
  <c r="BN248" i="11"/>
  <c r="BO248" i="11"/>
  <c r="BM257" i="11"/>
  <c r="BM259" i="11"/>
  <c r="BM260" i="11"/>
  <c r="BM261" i="11"/>
  <c r="BO256" i="11"/>
  <c r="H5" i="5" a="1"/>
  <c r="L28" i="9"/>
  <c r="BO259" i="11"/>
  <c r="BN257" i="11"/>
  <c r="BO257" i="11"/>
  <c r="BN259" i="11"/>
  <c r="BN260" i="11"/>
  <c r="BN261" i="11"/>
  <c r="H5" i="5"/>
  <c r="BO260" i="11"/>
  <c r="BO261" i="11"/>
  <c r="D18" i="3"/>
  <c r="D19" i="3"/>
  <c r="D20" i="3"/>
  <c r="D21" i="3"/>
  <c r="D22" i="3"/>
  <c r="D23" i="3"/>
  <c r="D24" i="3"/>
  <c r="D25" i="3"/>
  <c r="D26" i="3"/>
  <c r="D27" i="3"/>
  <c r="D28" i="3"/>
  <c r="D17" i="3"/>
  <c r="F10" i="3"/>
  <c r="D6" i="3"/>
  <c r="D9" i="3"/>
  <c r="D10" i="3"/>
  <c r="H8" i="1"/>
  <c r="H9" i="1"/>
  <c r="F13" i="1"/>
  <c r="I7" i="1"/>
  <c r="I2" i="1"/>
  <c r="J2" i="1"/>
  <c r="I3" i="1"/>
  <c r="I4" i="1"/>
  <c r="I5" i="1"/>
  <c r="I6" i="1"/>
  <c r="D5" i="3"/>
  <c r="D7" i="3"/>
  <c r="D8" i="3"/>
  <c r="I8" i="1"/>
  <c r="J8" i="1"/>
  <c r="K2" i="1"/>
  <c r="H10" i="1"/>
  <c r="I9" i="1"/>
  <c r="J5" i="1"/>
  <c r="J6" i="1"/>
  <c r="J4" i="1"/>
  <c r="J7" i="1"/>
  <c r="J3" i="1"/>
  <c r="D12" i="3"/>
  <c r="E17" i="3"/>
  <c r="E18" i="3"/>
  <c r="E19" i="3"/>
  <c r="E20" i="3"/>
  <c r="E21" i="3"/>
  <c r="E22" i="3"/>
  <c r="E23" i="3"/>
  <c r="E24" i="3"/>
  <c r="E25" i="3"/>
  <c r="E26" i="3"/>
  <c r="E27" i="3"/>
  <c r="E28" i="3"/>
  <c r="E30" i="3"/>
  <c r="C5" i="4"/>
  <c r="K8" i="1"/>
  <c r="K4" i="1"/>
  <c r="K5" i="1"/>
  <c r="K6" i="1"/>
  <c r="J9" i="1"/>
  <c r="K3" i="1"/>
  <c r="K7" i="1"/>
  <c r="H11" i="1"/>
  <c r="I10" i="1"/>
  <c r="J10" i="1"/>
  <c r="K10" i="1"/>
  <c r="K9" i="1"/>
  <c r="H12" i="1"/>
  <c r="I11" i="1"/>
  <c r="J11" i="1"/>
  <c r="K11" i="1"/>
  <c r="I12" i="1"/>
  <c r="J12" i="1"/>
  <c r="H13" i="1"/>
  <c r="I13" i="1"/>
  <c r="Q1" i="1" a="1"/>
  <c r="K12" i="1"/>
  <c r="J13" i="1"/>
  <c r="AB13" i="1"/>
  <c r="S2" i="1"/>
  <c r="T2" i="1"/>
  <c r="AA2" i="1"/>
  <c r="X2" i="1"/>
  <c r="AB2" i="1"/>
  <c r="U2" i="1"/>
  <c r="Z2" i="1"/>
  <c r="R2" i="1"/>
  <c r="W2" i="1"/>
  <c r="V2" i="1"/>
  <c r="Y2" i="1"/>
  <c r="X7" i="1"/>
  <c r="W4" i="1"/>
  <c r="AB6" i="1"/>
  <c r="Y3" i="1"/>
  <c r="AB5" i="1"/>
  <c r="Y6" i="1"/>
  <c r="AA7" i="1"/>
  <c r="Y4" i="1"/>
  <c r="AB8" i="1"/>
  <c r="V3" i="1"/>
  <c r="T5" i="1"/>
  <c r="T3" i="1"/>
  <c r="U6" i="1"/>
  <c r="V7" i="1"/>
  <c r="AB4" i="1"/>
  <c r="X8" i="1"/>
  <c r="AB3" i="1"/>
  <c r="U5" i="1"/>
  <c r="Z7" i="1"/>
  <c r="X4" i="1"/>
  <c r="AA8" i="1"/>
  <c r="X3" i="1"/>
  <c r="U4" i="1"/>
  <c r="AB7" i="1"/>
  <c r="AA4" i="1"/>
  <c r="Z8" i="1"/>
  <c r="AA3" i="1"/>
  <c r="Y5" i="1"/>
  <c r="W7" i="1"/>
  <c r="X6" i="1"/>
  <c r="Y8" i="1"/>
  <c r="U3" i="1"/>
  <c r="Z3" i="1"/>
  <c r="Y7" i="1"/>
  <c r="AA6" i="1"/>
  <c r="W8" i="1"/>
  <c r="AA5" i="1"/>
  <c r="Z5" i="1"/>
  <c r="W3" i="1"/>
  <c r="S4" i="1"/>
  <c r="V6" i="1"/>
  <c r="R3" i="1"/>
  <c r="V5" i="1"/>
  <c r="W6" i="1"/>
  <c r="Z4" i="1"/>
  <c r="Z6" i="1"/>
  <c r="S3" i="1"/>
  <c r="X5" i="1"/>
  <c r="V4" i="1"/>
  <c r="W5" i="1"/>
  <c r="T4" i="1"/>
  <c r="Y9" i="1"/>
  <c r="AB9" i="1"/>
  <c r="AA10" i="1"/>
  <c r="X9" i="1"/>
  <c r="AA9" i="1"/>
  <c r="Z9" i="1"/>
  <c r="Y10" i="1"/>
  <c r="AB10" i="1"/>
  <c r="Z10" i="1"/>
  <c r="Z11" i="1"/>
  <c r="AB11" i="1"/>
  <c r="AA11" i="1"/>
  <c r="AA12" i="1"/>
  <c r="AB12" i="1"/>
  <c r="K13" i="1"/>
  <c r="Q1" i="1"/>
  <c r="Q2" i="1"/>
  <c r="Q14" i="1"/>
  <c r="S14" i="1"/>
  <c r="AB14" i="1"/>
  <c r="W14" i="1"/>
  <c r="T14" i="1"/>
  <c r="X14" i="1"/>
  <c r="U14" i="1"/>
  <c r="Y14" i="1"/>
  <c r="Z14" i="1"/>
  <c r="R14" i="1"/>
  <c r="AA14" i="1"/>
  <c r="V14" i="1"/>
  <c r="L2" i="1" a="1"/>
  <c r="M12" i="1"/>
  <c r="N12" i="1"/>
  <c r="M9" i="1"/>
  <c r="N9" i="1"/>
  <c r="M13" i="1"/>
  <c r="N13" i="1"/>
  <c r="M6" i="1"/>
  <c r="N6" i="1"/>
  <c r="M11" i="1"/>
  <c r="N11" i="1"/>
  <c r="M4" i="1"/>
  <c r="N4" i="1"/>
  <c r="C7" i="1"/>
  <c r="M7" i="1"/>
  <c r="N7" i="1"/>
  <c r="M5" i="1"/>
  <c r="N5" i="1"/>
  <c r="L2" i="1"/>
  <c r="M2" i="1"/>
  <c r="M3" i="1"/>
  <c r="N3" i="1"/>
  <c r="M10" i="1"/>
  <c r="N10" i="1"/>
  <c r="M8" i="1"/>
  <c r="N8" i="1"/>
  <c r="AD4" i="1"/>
  <c r="AD2" i="1"/>
  <c r="AD3" i="1"/>
  <c r="AD7" i="1"/>
  <c r="AD6" i="1"/>
  <c r="AD5" i="1"/>
  <c r="C24" i="1"/>
  <c r="C18" i="1"/>
  <c r="C19" i="1"/>
  <c r="C20" i="1"/>
  <c r="N2" i="1"/>
  <c r="C6" i="1"/>
  <c r="C6" i="4"/>
  <c r="H7" i="5"/>
  <c r="C8" i="5"/>
  <c r="C12" i="5"/>
  <c r="C25" i="5"/>
  <c r="C28" i="5"/>
  <c r="G7" i="5"/>
  <c r="C7" i="5"/>
  <c r="F7" i="5"/>
  <c r="C6" i="5"/>
  <c r="C29" i="5"/>
  <c r="C33" i="5"/>
  <c r="C34" i="5"/>
  <c r="C36" i="5"/>
  <c r="C7" i="4"/>
  <c r="C9" i="4"/>
  <c r="H9" i="5"/>
  <c r="H8" i="5"/>
  <c r="H6" i="5"/>
  <c r="G9" i="5"/>
  <c r="G8" i="5"/>
  <c r="G6" i="5"/>
  <c r="F9" i="5"/>
  <c r="F8" i="5"/>
  <c r="F6" i="5"/>
  <c r="L13" i="1"/>
  <c r="L12" i="1"/>
  <c r="L11" i="1"/>
  <c r="L10" i="1"/>
  <c r="L9" i="1"/>
  <c r="L8" i="1"/>
  <c r="L7" i="1"/>
  <c r="L6" i="1"/>
  <c r="L5" i="1"/>
  <c r="L4" i="1"/>
  <c r="L3" i="1"/>
  <c r="AB1" i="1"/>
  <c r="AA1" i="1"/>
  <c r="Z1" i="1"/>
  <c r="Y1" i="1"/>
  <c r="X1" i="1"/>
  <c r="W1" i="1"/>
  <c r="V1" i="1"/>
  <c r="U1" i="1"/>
  <c r="T1" i="1"/>
  <c r="S1" i="1"/>
  <c r="R1" i="1"/>
</calcChain>
</file>

<file path=xl/comments1.xml><?xml version="1.0" encoding="utf-8"?>
<comments xmlns="http://schemas.openxmlformats.org/spreadsheetml/2006/main">
  <authors>
    <author>Miles Dunning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at any given moment in time</t>
        </r>
      </text>
    </comment>
    <comment ref="B20" authorId="0" shapeId="0">
      <text>
        <r>
          <rPr>
            <sz val="9"/>
            <color indexed="81"/>
            <rFont val="Tahoma"/>
            <family val="2"/>
          </rPr>
          <t>75% can be considered average, it’s what public SaaS businesses like Dropbox or Docusign have.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<sst xmlns="http://schemas.openxmlformats.org/spreadsheetml/2006/main" count="1196" uniqueCount="590">
  <si>
    <t>Deals</t>
  </si>
  <si>
    <t>Patient Count</t>
  </si>
  <si>
    <t>Close Rate</t>
  </si>
  <si>
    <t>Days</t>
  </si>
  <si>
    <t>Average Patients Per Practice</t>
  </si>
  <si>
    <t>Price Per Patient Per Month</t>
  </si>
  <si>
    <t>Patient Growth Per Month</t>
  </si>
  <si>
    <t>Close Cycle Duration (in weeks)</t>
  </si>
  <si>
    <t>Average Qualified Deals In Pipe</t>
  </si>
  <si>
    <t>Annual Churn Rate</t>
  </si>
  <si>
    <t>Average Contract Length (in months)</t>
  </si>
  <si>
    <t>Patients</t>
  </si>
  <si>
    <t>Cumulative Deals</t>
  </si>
  <si>
    <t>New Deals</t>
  </si>
  <si>
    <t>Acquirable Patients Per Practice</t>
  </si>
  <si>
    <t>Growth Rate</t>
  </si>
  <si>
    <t>Days Out</t>
  </si>
  <si>
    <t>Cumulative</t>
  </si>
  <si>
    <t>From Month 1</t>
  </si>
  <si>
    <t>From Month 2</t>
  </si>
  <si>
    <t>From Month 3</t>
  </si>
  <si>
    <t>From Month 4</t>
  </si>
  <si>
    <t>From Month 5</t>
  </si>
  <si>
    <t>From Month 6</t>
  </si>
  <si>
    <t>From Month 7</t>
  </si>
  <si>
    <t>From Month 8</t>
  </si>
  <si>
    <t>From Month 9</t>
  </si>
  <si>
    <t>From Month 10</t>
  </si>
  <si>
    <t>From Month 11</t>
  </si>
  <si>
    <t>From Month 12</t>
  </si>
  <si>
    <r>
      <rPr>
        <b/>
        <sz val="11"/>
        <color theme="9" tint="0.79998168889431442"/>
        <rFont val="Calibri"/>
        <family val="2"/>
        <scheme val="minor"/>
      </rPr>
      <t>INPUT</t>
    </r>
    <r>
      <rPr>
        <b/>
        <sz val="11"/>
        <color theme="1"/>
        <rFont val="Calibri"/>
        <family val="2"/>
        <scheme val="minor"/>
      </rPr>
      <t xml:space="preserve"> ||| </t>
    </r>
    <r>
      <rPr>
        <b/>
        <sz val="11"/>
        <color theme="7" tint="0.79998168889431442"/>
        <rFont val="Calibri"/>
        <family val="2"/>
        <scheme val="minor"/>
      </rPr>
      <t>OUTPUT</t>
    </r>
  </si>
  <si>
    <t>Valuation</t>
  </si>
  <si>
    <t>Monthly Revenue</t>
  </si>
  <si>
    <t>Annualized Revenue</t>
  </si>
  <si>
    <t>Annual Recurring Revenue</t>
  </si>
  <si>
    <t>Growth Rate by ARR</t>
  </si>
  <si>
    <t> 10th Percentile </t>
  </si>
  <si>
    <t> 25th Percentile </t>
  </si>
  <si>
    <t> 50th Percentile </t>
  </si>
  <si>
    <t> 75th Percentile </t>
  </si>
  <si>
    <t> 90th Percentile </t>
  </si>
  <si>
    <t>Less than $1 Million</t>
  </si>
  <si>
    <t>$3 - $5 Million</t>
  </si>
  <si>
    <t>$5 - $10 Million</t>
  </si>
  <si>
    <t>$10 - $20 Million</t>
  </si>
  <si>
    <t>More than $20 Million</t>
  </si>
  <si>
    <t>Practices</t>
  </si>
  <si>
    <t>VALUATION</t>
  </si>
  <si>
    <t>ASSUMPTIONS</t>
  </si>
  <si>
    <t>Forecast Selection</t>
  </si>
  <si>
    <t>Implied Forecast</t>
  </si>
  <si>
    <t>Performance Benchmark</t>
  </si>
  <si>
    <t>$1 - $3 Million</t>
  </si>
  <si>
    <t>Annual Growth Rate</t>
  </si>
  <si>
    <t>Net Revenue Retention</t>
  </si>
  <si>
    <t>Cost of Goods Sold (as a % of Rev)</t>
  </si>
  <si>
    <t>SaaS Coefficient Multiple</t>
  </si>
  <si>
    <t>Average Annual Cost of Goods Sold</t>
  </si>
  <si>
    <t>Annual Gross Margin</t>
  </si>
  <si>
    <t>Valuation Premium</t>
  </si>
  <si>
    <t>Implied Gross Margin Premium</t>
  </si>
  <si>
    <t>Annual Recurring Revenue (first year)</t>
  </si>
  <si>
    <t>Max Patient Capture % Per Practice</t>
  </si>
  <si>
    <t>Management</t>
  </si>
  <si>
    <t>Legislation/Political</t>
  </si>
  <si>
    <t>Manufacturing</t>
  </si>
  <si>
    <t>Fund Raising</t>
  </si>
  <si>
    <t>Competition</t>
  </si>
  <si>
    <t>Technology</t>
  </si>
  <si>
    <t>Reputation</t>
  </si>
  <si>
    <t>Litigation Risk</t>
  </si>
  <si>
    <t>Ranking</t>
  </si>
  <si>
    <t>Very Low</t>
  </si>
  <si>
    <t>Low</t>
  </si>
  <si>
    <t>Normal</t>
  </si>
  <si>
    <t>High</t>
  </si>
  <si>
    <t>Very High</t>
  </si>
  <si>
    <t>Score Impact</t>
  </si>
  <si>
    <t>Concept</t>
  </si>
  <si>
    <t>Prototype</t>
  </si>
  <si>
    <t>Launch Plan</t>
  </si>
  <si>
    <t>Intellectual Property</t>
  </si>
  <si>
    <t>None</t>
  </si>
  <si>
    <t>Some</t>
  </si>
  <si>
    <t>Progress</t>
  </si>
  <si>
    <t>Value</t>
  </si>
  <si>
    <t>Score</t>
  </si>
  <si>
    <t>Progress Score</t>
  </si>
  <si>
    <t>Quality Management Team</t>
  </si>
  <si>
    <t>Impact</t>
  </si>
  <si>
    <t>Basic Value</t>
  </si>
  <si>
    <t>Strategic Relationships</t>
  </si>
  <si>
    <t>Good</t>
  </si>
  <si>
    <t>Very Good</t>
  </si>
  <si>
    <t>Business Component</t>
  </si>
  <si>
    <t>Value Impact</t>
  </si>
  <si>
    <t>Risk Adjusted Pre-Revenue Valuation</t>
  </si>
  <si>
    <t>Risk Factor</t>
  </si>
  <si>
    <t>Techology</t>
  </si>
  <si>
    <t>Execution</t>
  </si>
  <si>
    <t>Operational</t>
  </si>
  <si>
    <t>Market Traction</t>
  </si>
  <si>
    <t>Pre-Revenue (Traction) Valuation</t>
  </si>
  <si>
    <t>International Expansion</t>
  </si>
  <si>
    <t>Potential Exit Hurdles</t>
  </si>
  <si>
    <t>Current Business State</t>
  </si>
  <si>
    <t>If "High" - Why?</t>
  </si>
  <si>
    <t>Startup Inexperience</t>
  </si>
  <si>
    <t>Untested in Market</t>
  </si>
  <si>
    <t>Marketplace Selection</t>
  </si>
  <si>
    <t>Sales &amp; Marketing</t>
  </si>
  <si>
    <t>Dropdown Lists</t>
  </si>
  <si>
    <t>Outlook Weight</t>
  </si>
  <si>
    <t>RISK ADJUSTMENT ASSEESSMENT</t>
  </si>
  <si>
    <t>PRE-REVENUE VALUE</t>
  </si>
  <si>
    <t>PROFORMA</t>
  </si>
  <si>
    <t>PERIOD</t>
  </si>
  <si>
    <t>Months 1-4</t>
  </si>
  <si>
    <t>Q1</t>
  </si>
  <si>
    <t>Q2</t>
  </si>
  <si>
    <t>Q3</t>
  </si>
  <si>
    <t>Q4</t>
  </si>
  <si>
    <t>Year 1</t>
  </si>
  <si>
    <t>Year 2</t>
  </si>
  <si>
    <t>Year 3</t>
  </si>
  <si>
    <t>Year 4</t>
  </si>
  <si>
    <t>Year 5</t>
  </si>
  <si>
    <t>CUSTOMERS</t>
  </si>
  <si>
    <t>HCHP (Cumulative)</t>
  </si>
  <si>
    <t>HCHP - Patients  (Cumulative)</t>
  </si>
  <si>
    <t>Pre-A-1</t>
  </si>
  <si>
    <t>Pre-A-2</t>
  </si>
  <si>
    <t>REVENUE</t>
  </si>
  <si>
    <t>Series A</t>
  </si>
  <si>
    <t>Total Revenue</t>
  </si>
  <si>
    <t>Cumulative Revenue</t>
  </si>
  <si>
    <t>Diluation 1</t>
  </si>
  <si>
    <t>Diluation 2</t>
  </si>
  <si>
    <t>EXPENSES</t>
  </si>
  <si>
    <t>Total Diluation</t>
  </si>
  <si>
    <t>Cost of Goods Sold</t>
  </si>
  <si>
    <t>Gross Profit</t>
  </si>
  <si>
    <t>as a % of Revenue</t>
  </si>
  <si>
    <t>Operating Expenses</t>
  </si>
  <si>
    <t>Total Expenses</t>
  </si>
  <si>
    <t>NET</t>
  </si>
  <si>
    <t>ACQUISITION</t>
  </si>
  <si>
    <t>Salespersons (SP)</t>
  </si>
  <si>
    <t>Physicians Tiers</t>
  </si>
  <si>
    <t># of Physicians</t>
  </si>
  <si>
    <t>AVG Patients</t>
  </si>
  <si>
    <t>Capture %</t>
  </si>
  <si>
    <t>Sub Patients</t>
  </si>
  <si>
    <t>Sales Team</t>
  </si>
  <si>
    <t>Salary</t>
  </si>
  <si>
    <t>Tax</t>
  </si>
  <si>
    <t>Benefits</t>
  </si>
  <si>
    <t>Gear</t>
  </si>
  <si>
    <t>BS</t>
  </si>
  <si>
    <t>Growth Per Month</t>
  </si>
  <si>
    <t>Tier 1 Physicians</t>
  </si>
  <si>
    <t>Head of Sales</t>
  </si>
  <si>
    <t>OPEX</t>
  </si>
  <si>
    <t>Churn Per Month</t>
  </si>
  <si>
    <t>Tier 2 Physicians</t>
  </si>
  <si>
    <t>Sales Person</t>
  </si>
  <si>
    <t>Tier 3 Physicians</t>
  </si>
  <si>
    <t>Pre Sales Person</t>
  </si>
  <si>
    <t>Sales Per SP Per Month</t>
  </si>
  <si>
    <t>Sales Assistant</t>
  </si>
  <si>
    <t>Ramp Up</t>
  </si>
  <si>
    <t>Weighted Average Price</t>
  </si>
  <si>
    <t>Tier 1</t>
  </si>
  <si>
    <t>Tier 2</t>
  </si>
  <si>
    <t>Tier 3</t>
  </si>
  <si>
    <t>Ramp Up Length (Mos)</t>
  </si>
  <si>
    <t>Per Patient Cost</t>
  </si>
  <si>
    <t>General</t>
  </si>
  <si>
    <t>HCHP</t>
  </si>
  <si>
    <t>% Subscribed</t>
  </si>
  <si>
    <t>CEO</t>
  </si>
  <si>
    <t>HCHP - Patients</t>
  </si>
  <si>
    <t>Blended Monthly Revenue Per Practice</t>
  </si>
  <si>
    <t>VP Operations</t>
  </si>
  <si>
    <t>Blended Patient Count Per Practice</t>
  </si>
  <si>
    <t>Infrastructure and Database</t>
  </si>
  <si>
    <t>COGS</t>
  </si>
  <si>
    <t>On-Going (Floor)</t>
  </si>
  <si>
    <t>Blended Monthly Revenue Per Patient</t>
  </si>
  <si>
    <t>General Administration</t>
  </si>
  <si>
    <t>Customer Support</t>
  </si>
  <si>
    <t>IT</t>
  </si>
  <si>
    <t>On-Going (Ceiling)</t>
  </si>
  <si>
    <t>CTO</t>
  </si>
  <si>
    <t>CISO</t>
  </si>
  <si>
    <t>InfoSec Consultant</t>
  </si>
  <si>
    <t>Laravel Developer</t>
  </si>
  <si>
    <t>On-Going Growth Rates</t>
  </si>
  <si>
    <t xml:space="preserve">Offshore </t>
  </si>
  <si>
    <t>Rahul - iOS Developer</t>
  </si>
  <si>
    <t>Developers</t>
  </si>
  <si>
    <t>On-Going Churn Rates</t>
  </si>
  <si>
    <t>Other</t>
  </si>
  <si>
    <t>Pre-Series A</t>
  </si>
  <si>
    <t>Sales Acquisition</t>
  </si>
  <si>
    <t>Legal</t>
  </si>
  <si>
    <t>Litigation Insurance</t>
  </si>
  <si>
    <t>Outsourced Accounting</t>
  </si>
  <si>
    <t xml:space="preserve">Security </t>
  </si>
  <si>
    <t>AWS</t>
  </si>
  <si>
    <t>Office Space</t>
  </si>
  <si>
    <t>Miscellaneous</t>
  </si>
  <si>
    <t>Other Variables</t>
  </si>
  <si>
    <t>Tax Rate</t>
  </si>
  <si>
    <t>Commission Rate</t>
  </si>
  <si>
    <t>Commission Cap Per Month</t>
  </si>
  <si>
    <t>Marketing (as a % of Rev)</t>
  </si>
  <si>
    <t>Salespersons Per Pre Sales</t>
  </si>
  <si>
    <t>Salespersons Per Sales Assistant</t>
  </si>
  <si>
    <t>Sales Acquisition Cost Per Person</t>
  </si>
  <si>
    <t>Growth Rate Per Year</t>
  </si>
  <si>
    <t>OPEX Expenses</t>
  </si>
  <si>
    <t>Pre-Series</t>
  </si>
  <si>
    <t>Post Series A</t>
  </si>
  <si>
    <t>MONTH #</t>
  </si>
  <si>
    <t>USER ACQUISITION</t>
  </si>
  <si>
    <t>SALESPERSON (SP)</t>
  </si>
  <si>
    <t>New SP</t>
  </si>
  <si>
    <t>Lost SP</t>
  </si>
  <si>
    <t>Net SP Per Month</t>
  </si>
  <si>
    <t>Cumulative SP</t>
  </si>
  <si>
    <t>SP SUPPORT</t>
  </si>
  <si>
    <t>Total SP Support</t>
  </si>
  <si>
    <t>SALES PER SP</t>
  </si>
  <si>
    <t>On-Going (Growth)</t>
  </si>
  <si>
    <t>On-Going (Churn)</t>
  </si>
  <si>
    <t>Totals Per Month</t>
  </si>
  <si>
    <t>Cumulative Totals</t>
  </si>
  <si>
    <t>Monthly Subscriptions</t>
  </si>
  <si>
    <t>Total Monthly Revenue</t>
  </si>
  <si>
    <t>Cumulative Breakdown</t>
  </si>
  <si>
    <t>TEST</t>
  </si>
  <si>
    <t>SALARIES</t>
  </si>
  <si>
    <t>Totals</t>
  </si>
  <si>
    <t>Offshore</t>
  </si>
  <si>
    <t>Total Salaries</t>
  </si>
  <si>
    <t>Cumulative Salaries</t>
  </si>
  <si>
    <t>TAXES</t>
  </si>
  <si>
    <t>Total Taxes</t>
  </si>
  <si>
    <t>Cumulative Taxes</t>
  </si>
  <si>
    <t>BENEFITS</t>
  </si>
  <si>
    <t>Total Benefits</t>
  </si>
  <si>
    <t>Cumulative Benefits</t>
  </si>
  <si>
    <t>GEAR</t>
  </si>
  <si>
    <t>Total Gear</t>
  </si>
  <si>
    <t>Cumulative Gear</t>
  </si>
  <si>
    <t>COST OF GOODS SOLD</t>
  </si>
  <si>
    <t>TOTAL COGS</t>
  </si>
  <si>
    <t>OTHER VARIABLES</t>
  </si>
  <si>
    <t>Commission Per SP</t>
  </si>
  <si>
    <t>Head of Sales (Deferred)</t>
  </si>
  <si>
    <t>Total Commission</t>
  </si>
  <si>
    <t>Cumulative Commission</t>
  </si>
  <si>
    <t>Total Marketing</t>
  </si>
  <si>
    <t>Cumulative Marketing</t>
  </si>
  <si>
    <t>TOTAL OPEX</t>
  </si>
  <si>
    <t>CAPTIAL PROJECTS</t>
  </si>
  <si>
    <t>Marketing Booster</t>
  </si>
  <si>
    <t>Reserve</t>
  </si>
  <si>
    <t>App Refinements</t>
  </si>
  <si>
    <t>Expansion (EU, et al)_</t>
  </si>
  <si>
    <t>iPad App Dev</t>
  </si>
  <si>
    <t>Fund Ext. Medical Studies</t>
  </si>
  <si>
    <t>HC Labs (AI/ML)</t>
  </si>
  <si>
    <t>3rd Party Audits</t>
  </si>
  <si>
    <t>Cumulative Capital</t>
  </si>
  <si>
    <t>Total Monthly Expenses</t>
  </si>
  <si>
    <t>CUMULATIVE</t>
  </si>
  <si>
    <t>Monthly</t>
  </si>
  <si>
    <t>Exit Target</t>
  </si>
  <si>
    <t>Harvest Year</t>
  </si>
  <si>
    <t>Terminal Value at Acquistion</t>
  </si>
  <si>
    <t>Year</t>
  </si>
  <si>
    <t>Gross Revenue</t>
  </si>
  <si>
    <t>EBITDA</t>
  </si>
  <si>
    <t>Annually Discounted</t>
  </si>
  <si>
    <t>Return on Investment</t>
  </si>
  <si>
    <t>Investment Stage Selection</t>
  </si>
  <si>
    <t xml:space="preserve">Series A </t>
  </si>
  <si>
    <t>Diluation - From Series A</t>
  </si>
  <si>
    <t>Diluation - From Pre Series (Two)</t>
  </si>
  <si>
    <t>Pre Series (One)</t>
  </si>
  <si>
    <t>Pre Series (Two)</t>
  </si>
  <si>
    <t>Return on Investment Target</t>
  </si>
  <si>
    <t>Annualized ROI</t>
  </si>
  <si>
    <t>Multiple on Money</t>
  </si>
  <si>
    <t>Investor Equity Position at Exit</t>
  </si>
  <si>
    <t>Investor Equity Position</t>
  </si>
  <si>
    <t>Implied Valuation at Stage</t>
  </si>
  <si>
    <t>Current Stage Implied Valuation</t>
  </si>
  <si>
    <t>Weight</t>
  </si>
  <si>
    <t>Valuation Type</t>
  </si>
  <si>
    <t>Amount</t>
  </si>
  <si>
    <t>Projected SaaS Valuation</t>
  </si>
  <si>
    <t>Pre Series A</t>
  </si>
  <si>
    <t>*Rounded to the nearest million</t>
  </si>
  <si>
    <t>ROI Target</t>
  </si>
  <si>
    <t>&lt;</t>
  </si>
  <si>
    <t xml:space="preserve"> </t>
  </si>
  <si>
    <t>Simple SaaS cash flow anaysis</t>
  </si>
  <si>
    <t>http://www.forentrepreneurs.com/</t>
  </si>
  <si>
    <t>by David Skok, General Partner at Matrix Partners</t>
  </si>
  <si>
    <t>Input Variables</t>
  </si>
  <si>
    <t>Average Monthly Payment</t>
  </si>
  <si>
    <t>Gross Margin %</t>
  </si>
  <si>
    <t>CAC (Cost to Acquire a Customer)</t>
  </si>
  <si>
    <t>Monthly Churn Rate</t>
  </si>
  <si>
    <t>Month 1 - no of new customers</t>
  </si>
  <si>
    <t>Monthly growth rate for new custs (X)</t>
  </si>
  <si>
    <t>Computations</t>
  </si>
  <si>
    <t>Customer Lifetime</t>
  </si>
  <si>
    <t>months</t>
  </si>
  <si>
    <t>LTV (Lifetime Value of Customer)</t>
  </si>
  <si>
    <t>LTV to CAC ratio</t>
  </si>
  <si>
    <t>Months to recover CAC</t>
  </si>
  <si>
    <t>Cash Low Point</t>
  </si>
  <si>
    <t>Single Customer Cashflow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</si>
  <si>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</si>
  <si>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</si>
  <si>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</si>
  <si>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</si>
  <si>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</si>
  <si>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</si>
  <si>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</si>
  <si>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</si>
  <si>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</si>
  <si>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</si>
  <si>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</si>
  <si>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</si>
  <si>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</si>
  <si>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</si>
  <si>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</si>
  <si>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</si>
  <si>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</si>
  <si>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</si>
  <si>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</si>
  <si>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</si>
  <si>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</si>
  <si>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</si>
  <si>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</si>
  <si>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</si>
  <si>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Month 25</t>
  </si>
  <si>
    <t>Month 26</t>
  </si>
  <si>
    <t>Month 27</t>
  </si>
  <si>
    <t>Month 28</t>
  </si>
  <si>
    <t>Month 29</t>
  </si>
  <si>
    <t>Month 30</t>
  </si>
  <si>
    <t>Month 31</t>
  </si>
  <si>
    <t>Month 32</t>
  </si>
  <si>
    <t>Month 33</t>
  </si>
  <si>
    <t>Month 34</t>
  </si>
  <si>
    <t>Month 35</t>
  </si>
  <si>
    <t>Month 36</t>
  </si>
  <si>
    <t>Month 37</t>
  </si>
  <si>
    <t>Month 38</t>
  </si>
  <si>
    <t>Month 39</t>
  </si>
  <si>
    <t>Month 40</t>
  </si>
  <si>
    <t>Month 41</t>
  </si>
  <si>
    <t>Month 42</t>
  </si>
  <si>
    <t>Month 43</t>
  </si>
  <si>
    <t>Month 44</t>
  </si>
  <si>
    <t>Month 45</t>
  </si>
  <si>
    <t>Month 46</t>
  </si>
  <si>
    <t>Month 47</t>
  </si>
  <si>
    <t>Month 48</t>
  </si>
  <si>
    <t>Month 49</t>
  </si>
  <si>
    <t>Month 50</t>
  </si>
  <si>
    <t>Month 51</t>
  </si>
  <si>
    <t>Month 52</t>
  </si>
  <si>
    <t>Month 53</t>
  </si>
  <si>
    <t>Month 54</t>
  </si>
  <si>
    <t>Month 55</t>
  </si>
  <si>
    <t>Month 56</t>
  </si>
  <si>
    <t>Month 57</t>
  </si>
  <si>
    <t>Month 58</t>
  </si>
  <si>
    <t>Month 59</t>
  </si>
  <si>
    <t>Month 60</t>
  </si>
  <si>
    <t>CAC (Cost to acquire the customer)</t>
  </si>
  <si>
    <t>Subscription payments * GM%</t>
  </si>
  <si>
    <t>Cash Flow</t>
  </si>
  <si>
    <t>Cumulative Cash Flow</t>
  </si>
  <si>
    <t>Multiple Customer Cashflow</t>
  </si>
  <si>
    <t>Number of new Customers Added</t>
  </si>
  <si>
    <t>No of customers lost to churn</t>
  </si>
  <si>
    <t>Total Customers</t>
  </si>
  <si>
    <t>CAC</t>
  </si>
  <si>
    <t>Subscription Payments * GM%</t>
  </si>
  <si>
    <t>Growth Rate: 2 more custs per mnth</t>
  </si>
  <si>
    <t>Growth Rate: 5 more custs per mnth</t>
  </si>
  <si>
    <t>Growth Rate: 10 more custs per mnth</t>
  </si>
  <si>
    <t>Months to recover CAC: 6.3</t>
  </si>
  <si>
    <t>Months to recover CAC: 12.5</t>
  </si>
  <si>
    <t>Months to recover CAC: 18.8</t>
  </si>
  <si>
    <t>Note: in the above set of numbers, the LTV to CAC ratio was maintained at just above 3 by varying churn.</t>
  </si>
  <si>
    <t>Blue Line</t>
  </si>
  <si>
    <t>Red Line</t>
  </si>
  <si>
    <t>Green Line</t>
  </si>
  <si>
    <t>Monthly growth rate for new custs</t>
  </si>
  <si>
    <t>Cash Low point</t>
  </si>
  <si>
    <t>Graphs showing the impact of Churn</t>
  </si>
  <si>
    <t>Cohort 1</t>
  </si>
  <si>
    <t>Cohort 2</t>
  </si>
  <si>
    <t>Cohort 3</t>
  </si>
  <si>
    <t>Cohort 4</t>
  </si>
  <si>
    <t>Cohort 5</t>
  </si>
  <si>
    <t>Cohort 6</t>
  </si>
  <si>
    <t>Cohort 7</t>
  </si>
  <si>
    <t>Cohort 8</t>
  </si>
  <si>
    <t>Cohort 9</t>
  </si>
  <si>
    <t>Cohort 10</t>
  </si>
  <si>
    <t>Cohort 11</t>
  </si>
  <si>
    <t>Cohort 12</t>
  </si>
  <si>
    <t>Cohort 13</t>
  </si>
  <si>
    <t>Cohort 14</t>
  </si>
  <si>
    <t>Cohort 15</t>
  </si>
  <si>
    <t>Cohort 16</t>
  </si>
  <si>
    <t>Cohort 17</t>
  </si>
  <si>
    <t>Cohort 18</t>
  </si>
  <si>
    <t>Cohort 19</t>
  </si>
  <si>
    <t>Cohort 20</t>
  </si>
  <si>
    <t>Cohort 21</t>
  </si>
  <si>
    <t>Cohort 22</t>
  </si>
  <si>
    <t>Cohort 23</t>
  </si>
  <si>
    <t>Cohort 24</t>
  </si>
  <si>
    <t>Cohort 25</t>
  </si>
  <si>
    <t>Cohort 26</t>
  </si>
  <si>
    <t>Cohort 27</t>
  </si>
  <si>
    <t>Cohort 28</t>
  </si>
  <si>
    <t>Cohort 29</t>
  </si>
  <si>
    <t>Cohort 30</t>
  </si>
  <si>
    <t>Cohort 31</t>
  </si>
  <si>
    <t>Cohort 32</t>
  </si>
  <si>
    <t>Cohort 33</t>
  </si>
  <si>
    <t>Cohort 34</t>
  </si>
  <si>
    <t>Cohort 35</t>
  </si>
  <si>
    <t>Cohort 36</t>
  </si>
  <si>
    <t>Cohort 37</t>
  </si>
  <si>
    <t>Cohort 38</t>
  </si>
  <si>
    <t>Cohort 39</t>
  </si>
  <si>
    <t>Cohort 40</t>
  </si>
  <si>
    <t>Cost to Acquire (CAC)</t>
  </si>
  <si>
    <t>License Revenue</t>
  </si>
  <si>
    <t>SaaS Metrics 2.0</t>
  </si>
  <si>
    <t>For companies that book primarily monthly contracts</t>
  </si>
  <si>
    <t>Bookings</t>
  </si>
  <si>
    <t>Dec</t>
  </si>
  <si>
    <t>Jan</t>
  </si>
  <si>
    <t>Feb</t>
  </si>
  <si>
    <t>Mar</t>
  </si>
  <si>
    <t>Apr</t>
  </si>
  <si>
    <t>May</t>
  </si>
  <si>
    <t>Jun</t>
  </si>
  <si>
    <t>Bookings $,000's (new custs)</t>
  </si>
  <si>
    <t>Value of all closed contracts during the month (with varying durations)</t>
  </si>
  <si>
    <t>Average Deal Size $'s</t>
  </si>
  <si>
    <t>Average size of deal for full duration</t>
  </si>
  <si>
    <t>Average Contract Length</t>
  </si>
  <si>
    <t>Average duration of contract signed by the new customers</t>
  </si>
  <si>
    <t>Average Months paid upfront</t>
  </si>
  <si>
    <t>Average number of months paid upfront by new customers</t>
  </si>
  <si>
    <t>ARPA (Average MRR) for new custs</t>
  </si>
  <si>
    <t xml:space="preserve">ARPA = Avg Revenue Per Acct - Avg MRR across the new customers </t>
  </si>
  <si>
    <t>ARPA - across the installed base</t>
  </si>
  <si>
    <t xml:space="preserve">Average MRR per customer across the installed base </t>
  </si>
  <si>
    <t>MRR</t>
  </si>
  <si>
    <t>New MRR</t>
  </si>
  <si>
    <t>New MRR added from new customers signed in the month</t>
  </si>
  <si>
    <t>Churned MRR</t>
  </si>
  <si>
    <t>Lost MRR from customers who churned in the month</t>
  </si>
  <si>
    <t>Expansion MRR</t>
  </si>
  <si>
    <t>Expansion MRR from the installed base of existing customers</t>
  </si>
  <si>
    <t>Net New MRR</t>
  </si>
  <si>
    <t>Starting MRR</t>
  </si>
  <si>
    <t>Ending MRR</t>
  </si>
  <si>
    <t>ARR (Annualized Run Rate)</t>
  </si>
  <si>
    <t>This is simply MRR  x 12</t>
  </si>
  <si>
    <t>Churn Metrics</t>
  </si>
  <si>
    <t>Total # of Customers</t>
  </si>
  <si>
    <t># of new Customers</t>
  </si>
  <si>
    <t># of churned Customers</t>
  </si>
  <si>
    <t>Net New Customers</t>
  </si>
  <si>
    <t># of new Customers - # of churned Customers</t>
  </si>
  <si>
    <t>% Customer Churn</t>
  </si>
  <si>
    <t># of churned Customers / Total # of Customers (from last month)</t>
  </si>
  <si>
    <t>% MRR Churn</t>
  </si>
  <si>
    <t>Churned MRR / Last month's Ending MRR</t>
  </si>
  <si>
    <t>% MRR Expansion</t>
  </si>
  <si>
    <t>Expansion MRR / Last month's Ending MRR</t>
  </si>
  <si>
    <t>% Net MRR Churn</t>
  </si>
  <si>
    <t>(Churned MRR - Expansion MRR)/Last months Ending MRR</t>
  </si>
  <si>
    <t>Customer Engagement Score</t>
  </si>
  <si>
    <t>The average Customer Engagement Score across the customer base</t>
  </si>
  <si>
    <t>Net Promoter Score</t>
  </si>
  <si>
    <t>Unit Economics (new customers)</t>
  </si>
  <si>
    <t>LTV</t>
  </si>
  <si>
    <t>ARPA * Gross Margin % / %MRR Churn Rate (Simple formula. Doesn't work for negative churn. See post https://www.forentrepreneurs.com/ltv/)</t>
  </si>
  <si>
    <t>Adjusted Sales &amp; Marketing expense / # of new Customers</t>
  </si>
  <si>
    <t>LTV to CAC Ratio</t>
  </si>
  <si>
    <t>LTV/CAC</t>
  </si>
  <si>
    <t>Months to Recover CAC</t>
  </si>
  <si>
    <t>CAC/(ARPA * GM%)</t>
  </si>
  <si>
    <t>Summary Financial Metrics $000's</t>
  </si>
  <si>
    <t>Billings (what's invoiced this month)</t>
  </si>
  <si>
    <t>Custs may be billed in advance of when revenue can be recognized</t>
  </si>
  <si>
    <t>Revenue</t>
  </si>
  <si>
    <t>Revenue is typically recognized monthly, so may vary from Billings</t>
  </si>
  <si>
    <t>Cost of Goods Solds - COGS</t>
  </si>
  <si>
    <t>Gross Margin</t>
  </si>
  <si>
    <t xml:space="preserve">   Sales &amp; Marketing</t>
  </si>
  <si>
    <t xml:space="preserve">   Research &amp; Development</t>
  </si>
  <si>
    <t xml:space="preserve">   General &amp; Administrative</t>
  </si>
  <si>
    <t>Based on GAAP recognized revenue</t>
  </si>
  <si>
    <t>Billings-based operating profit/loss</t>
  </si>
  <si>
    <t>Given that cash will be collected based on Billings, this is a useful way</t>
  </si>
  <si>
    <t>to judge how the business is doing on cash basis</t>
  </si>
  <si>
    <t>Cash  &amp; Deferred Revenue</t>
  </si>
  <si>
    <t>Change in Cash</t>
  </si>
  <si>
    <t>Ending Cash</t>
  </si>
  <si>
    <t>Deferred Revenue</t>
  </si>
  <si>
    <t>Tracks what has been billed, but can't yet be recognized as revenue</t>
  </si>
  <si>
    <t>Funnel Metrics</t>
  </si>
  <si>
    <t>Vistors to Web Site</t>
  </si>
  <si>
    <t>Conversion from Visitors to Trials</t>
  </si>
  <si>
    <t>Trials in progress</t>
  </si>
  <si>
    <t>Conversion from Trials to Purchase</t>
  </si>
  <si>
    <t>Sales Metrics</t>
  </si>
  <si>
    <t xml:space="preserve">No of FTE Sales reps </t>
  </si>
  <si>
    <t>FTE = Full Time Equivalent (equivalent # of fully productive reps)</t>
  </si>
  <si>
    <t>Quota per sales rep</t>
  </si>
  <si>
    <t>MRR  value of new customers signed</t>
  </si>
  <si>
    <t xml:space="preserve">Forecasted Sales Capacity </t>
  </si>
  <si>
    <t># of FTE reps * quota (should translate into New MRR Bookings)</t>
  </si>
  <si>
    <t>Coverage ratio for plan</t>
  </si>
  <si>
    <t>Forcasted Sales Capacity / Bookings plan</t>
  </si>
  <si>
    <t>Productivity per FTE sales rep</t>
  </si>
  <si>
    <t>MRR value of new customers signed</t>
  </si>
  <si>
    <t>Scroll right to see the dashboard ----&gt;</t>
  </si>
  <si>
    <t>For companies that book annual contracts</t>
  </si>
  <si>
    <t>Value of all closed contracts during the month (annualized)</t>
  </si>
  <si>
    <t>Average ACV (new contracts)</t>
  </si>
  <si>
    <t>Average ACV for new customers</t>
  </si>
  <si>
    <t>Average Contract Term</t>
  </si>
  <si>
    <t>Average Months Paid Upfront</t>
  </si>
  <si>
    <t>ARPA - Avg MRR (for new Custs)</t>
  </si>
  <si>
    <t>Average Revenue per Account - Avg MRR (for the new customers)</t>
  </si>
  <si>
    <t>ARPA - across installed base</t>
  </si>
  <si>
    <t xml:space="preserve">Average MRR across the installed base </t>
  </si>
  <si>
    <t>ARR</t>
  </si>
  <si>
    <t>New ARR</t>
  </si>
  <si>
    <t>New ARR added from new customers signed in the month</t>
  </si>
  <si>
    <t>Churned ARR</t>
  </si>
  <si>
    <t>Lost ARR from customers who churned in the month</t>
  </si>
  <si>
    <t>Expansion ARR</t>
  </si>
  <si>
    <t>Expansion ARR from the installed base of existing customers</t>
  </si>
  <si>
    <t>Net New ARR</t>
  </si>
  <si>
    <t>Starting ARR</t>
  </si>
  <si>
    <t>Ending ARR</t>
  </si>
  <si>
    <t>% ARR Churn</t>
  </si>
  <si>
    <t>% ARR Expansion</t>
  </si>
  <si>
    <t>% Net ARR Churn</t>
  </si>
  <si>
    <t>Renewal rate (# of Custs)</t>
  </si>
  <si>
    <t>Slightly different to Churn, as it measures Renewal against contracts</t>
  </si>
  <si>
    <t>Renewal rate (ARR $'s)</t>
  </si>
  <si>
    <t>that are up for renewal. (Churn is against the whole customer base)</t>
  </si>
  <si>
    <t>Raw Leads / Enquiries</t>
  </si>
  <si>
    <t>Conversion Raw Leads to MQLs</t>
  </si>
  <si>
    <t>Opportunities</t>
  </si>
  <si>
    <t>Conversion: Oppties to Win</t>
  </si>
  <si>
    <t>Win/Losss ratio</t>
  </si>
  <si>
    <t xml:space="preserve">Sales Capacity </t>
  </si>
  <si>
    <t>(12 months)</t>
  </si>
  <si>
    <t>B</t>
  </si>
  <si>
    <t>S</t>
  </si>
  <si>
    <t>Base</t>
  </si>
  <si>
    <t>Bonus</t>
  </si>
  <si>
    <t>YR 1</t>
  </si>
  <si>
    <t>YR 2</t>
  </si>
  <si>
    <t>YR 3</t>
  </si>
  <si>
    <t>YR 4</t>
  </si>
  <si>
    <t>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</si>
</sst>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_(* #,##0_);_(* \(#,##0\);_(* &quot;-&quot;??_);_(@_)"/>
    <numFmt numFmtId="167" formatCode="0.0%"/>
    <numFmt numFmtId="168" formatCode="0.0000%"/>
    <numFmt numFmtId="169" formatCode="0.000%"/>
    <numFmt numFmtId="170" formatCode="[$-409]mmm\-yy;@"/>
    <numFmt numFmtId="171" formatCode="0.0000"/>
    <numFmt numFmtId="172" formatCode="&quot;$&quot;#,##0"/>
    <numFmt numFmtId="173" formatCode="_(* #,##0.0_);_(* \(#,##0.0\);_(* &quot;-&quot;??_);_(@_)"/>
    <numFmt numFmtId="174" formatCode="_(&quot;$&quot;* #,##0.0_);_(&quot;$&quot;* \(#,##0.0\);_(&quot;$&quot;* &quot;-&quot;??_);_(@_)"/>
    <numFmt numFmtId="175" formatCode="_(&quot;$&quot;* #,##0.0_);_(&quot;$&quot;* \(#,##0.0\);_(&quot;$&quot;* &quot;-&quot;?_);_(@_)"/>
    <numFmt numFmtId="176" formatCode="_(&quot;$&quot;* #,##0_);_(&quot;$&quot;* \(#,##0\);_(&quot;$&quot;* &quot;-&quot;?_);_(@_)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color theme="1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3"/>
      <name val="Arial Black"/>
      <family val="2"/>
    </font>
    <font>
      <b/>
      <sz val="13"/>
      <color rgb="FF44546A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rgb="FFFFFF00"/>
      <name val="Lucida Bright"/>
      <family val="1"/>
    </font>
    <font>
      <b/>
      <sz val="20"/>
      <color rgb="FFFFFF00"/>
      <name val="Lucida Bright"/>
      <family val="1"/>
    </font>
    <font>
      <b/>
      <sz val="20"/>
      <color theme="1"/>
      <name val="Lucida Bright"/>
      <family val="1"/>
    </font>
    <font>
      <b/>
      <sz val="16"/>
      <color rgb="FFC00000"/>
      <name val="Lucida Bright"/>
      <family val="1"/>
    </font>
    <font>
      <b/>
      <sz val="22"/>
      <color rgb="FFC00000"/>
      <name val="Lucida Bright"/>
      <family val="1"/>
    </font>
    <font>
      <sz val="14"/>
      <color theme="1"/>
      <name val="Lucida Bright"/>
      <family val="1"/>
    </font>
    <font>
      <sz val="22"/>
      <color theme="1"/>
      <name val="Lucida Bright"/>
      <family val="1"/>
    </font>
    <font>
      <b/>
      <sz val="18"/>
      <color theme="1"/>
      <name val="Lucida Bright"/>
      <family val="1"/>
    </font>
    <font>
      <sz val="11"/>
      <color theme="1"/>
      <name val="Lucida Bright"/>
      <family val="1"/>
    </font>
    <font>
      <b/>
      <sz val="14"/>
      <color theme="1"/>
      <name val="Lucida Bright"/>
      <family val="1"/>
    </font>
    <font>
      <sz val="14"/>
      <color theme="0"/>
      <name val="Lucida Bright"/>
      <family val="1"/>
    </font>
    <font>
      <b/>
      <sz val="14"/>
      <color theme="0"/>
      <name val="Lucida Bright"/>
      <family val="1"/>
    </font>
    <font>
      <b/>
      <sz val="16"/>
      <color theme="1"/>
      <name val="Lucida Bright"/>
      <family val="1"/>
    </font>
    <font>
      <b/>
      <sz val="12"/>
      <color theme="1"/>
      <name val="Lucida Bright"/>
      <family val="1"/>
    </font>
  </fonts>
  <fills count="2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</borders>
  <cellStyleXfs count="18">
    <xf numFmtId="0" fontId="0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42" applyNumberFormat="0" applyFill="0" applyAlignment="0" applyProtection="0"/>
    <xf numFmtId="0" fontId="37" fillId="0" borderId="43" applyNumberFormat="0" applyFill="0" applyAlignment="0" applyProtection="0"/>
    <xf numFmtId="0" fontId="38" fillId="0" borderId="44" applyNumberFormat="0" applyFill="0" applyAlignment="0" applyProtection="0"/>
    <xf numFmtId="0" fontId="39" fillId="18" borderId="45" applyNumberFormat="0" applyAlignment="0" applyProtection="0"/>
    <xf numFmtId="0" fontId="2" fillId="0" borderId="46" applyNumberFormat="0" applyFill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" fillId="22" borderId="0" applyNumberFormat="0" applyBorder="0" applyAlignment="0" applyProtection="0"/>
  </cellStyleXfs>
  <cellXfs count="581">
    <xf numFmtId="0" fontId="0" fillId="0" borderId="0" xfId="0"/>
    <xf numFmtId="172" fontId="47" fillId="28" borderId="3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9" fontId="0" fillId="0" borderId="0" xfId="4" applyFont="1" applyAlignment="1">
      <alignment horizontal="center"/>
    </xf>
    <xf numFmtId="0" fontId="0" fillId="0" borderId="2" xfId="0" applyBorder="1"/>
    <xf numFmtId="6" fontId="0" fillId="0" borderId="0" xfId="0" applyNumberFormat="1"/>
    <xf numFmtId="1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2" fillId="2" borderId="0" xfId="0" applyFont="1" applyFill="1" applyAlignment="1">
      <alignment horizontal="center"/>
    </xf>
    <xf numFmtId="9" fontId="2" fillId="2" borderId="0" xfId="4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6" fontId="2" fillId="2" borderId="0" xfId="0" applyNumberFormat="1" applyFont="1" applyFill="1" applyAlignment="1">
      <alignment horizontal="center"/>
    </xf>
    <xf numFmtId="1" fontId="2" fillId="0" borderId="0" xfId="0" applyNumberFormat="1" applyFont="1" applyBorder="1" applyAlignment="1">
      <alignment horizontal="center"/>
    </xf>
    <xf numFmtId="3" fontId="0" fillId="0" borderId="0" xfId="2" applyNumberFormat="1" applyFont="1" applyBorder="1" applyAlignment="1">
      <alignment horizontal="center"/>
    </xf>
    <xf numFmtId="3" fontId="0" fillId="4" borderId="0" xfId="2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3" fontId="2" fillId="3" borderId="0" xfId="0" applyNumberFormat="1" applyFont="1" applyFill="1" applyBorder="1" applyAlignment="1">
      <alignment horizontal="center"/>
    </xf>
    <xf numFmtId="164" fontId="0" fillId="0" borderId="0" xfId="3" applyNumberFormat="1" applyFont="1" applyBorder="1" applyAlignment="1">
      <alignment horizontal="center"/>
    </xf>
    <xf numFmtId="3" fontId="2" fillId="3" borderId="0" xfId="0" applyNumberFormat="1" applyFont="1" applyFill="1" applyAlignment="1">
      <alignment horizontal="center"/>
    </xf>
    <xf numFmtId="164" fontId="2" fillId="3" borderId="0" xfId="3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6" borderId="3" xfId="0" applyFill="1" applyBorder="1"/>
    <xf numFmtId="0" fontId="0" fillId="6" borderId="4" xfId="0" applyFill="1" applyBorder="1"/>
    <xf numFmtId="164" fontId="2" fillId="3" borderId="0" xfId="0" applyNumberFormat="1" applyFont="1" applyFill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9" fontId="2" fillId="7" borderId="2" xfId="4" applyFont="1" applyFill="1" applyBorder="1" applyAlignment="1">
      <alignment horizontal="center" vertical="center"/>
    </xf>
    <xf numFmtId="0" fontId="10" fillId="7" borderId="2" xfId="5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9" fontId="2" fillId="3" borderId="0" xfId="4" applyFont="1" applyFill="1" applyAlignment="1">
      <alignment horizontal="center" vertical="center"/>
    </xf>
    <xf numFmtId="1" fontId="2" fillId="7" borderId="2" xfId="0" applyNumberFormat="1" applyFont="1" applyFill="1" applyBorder="1" applyAlignment="1">
      <alignment horizontal="center" vertical="center"/>
    </xf>
    <xf numFmtId="1" fontId="0" fillId="0" borderId="0" xfId="0" applyNumberFormat="1"/>
    <xf numFmtId="164" fontId="0" fillId="0" borderId="0" xfId="3" applyNumberFormat="1" applyFont="1" applyAlignment="1">
      <alignment horizontal="center"/>
    </xf>
    <xf numFmtId="9" fontId="2" fillId="3" borderId="0" xfId="4" applyNumberFormat="1" applyFont="1" applyFill="1" applyAlignment="1">
      <alignment horizontal="center" vertical="center"/>
    </xf>
    <xf numFmtId="9" fontId="2" fillId="9" borderId="0" xfId="4" applyFont="1" applyFill="1" applyAlignment="1">
      <alignment horizontal="center" vertical="center"/>
    </xf>
    <xf numFmtId="1" fontId="2" fillId="0" borderId="9" xfId="0" applyNumberFormat="1" applyFont="1" applyBorder="1" applyAlignment="1">
      <alignment horizontal="center"/>
    </xf>
    <xf numFmtId="3" fontId="0" fillId="4" borderId="1" xfId="2" applyNumberFormat="1" applyFont="1" applyFill="1" applyBorder="1" applyAlignment="1">
      <alignment horizontal="center"/>
    </xf>
    <xf numFmtId="3" fontId="0" fillId="0" borderId="10" xfId="2" applyNumberFormat="1" applyFont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4" fontId="0" fillId="0" borderId="0" xfId="0" applyNumberFormat="1"/>
    <xf numFmtId="164" fontId="0" fillId="0" borderId="11" xfId="3" applyNumberFormat="1" applyFont="1" applyBorder="1" applyAlignment="1">
      <alignment horizontal="center" vertical="center"/>
    </xf>
    <xf numFmtId="164" fontId="0" fillId="0" borderId="0" xfId="3" applyNumberFormat="1" applyFont="1"/>
    <xf numFmtId="164" fontId="0" fillId="0" borderId="0" xfId="0" applyNumberFormat="1"/>
    <xf numFmtId="0" fontId="14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3" applyNumberFormat="1" applyFont="1" applyFill="1"/>
    <xf numFmtId="0" fontId="2" fillId="4" borderId="15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164" fontId="15" fillId="9" borderId="8" xfId="0" applyNumberFormat="1" applyFont="1" applyFill="1" applyBorder="1" applyAlignment="1">
      <alignment horizontal="center" vertical="center"/>
    </xf>
    <xf numFmtId="44" fontId="0" fillId="3" borderId="0" xfId="3" applyFont="1" applyFill="1"/>
    <xf numFmtId="0" fontId="14" fillId="0" borderId="0" xfId="0" applyFont="1"/>
    <xf numFmtId="0" fontId="14" fillId="0" borderId="0" xfId="0" applyFont="1" applyAlignment="1">
      <alignment horizontal="center"/>
    </xf>
    <xf numFmtId="9" fontId="14" fillId="2" borderId="0" xfId="4" applyFont="1" applyFill="1" applyAlignment="1">
      <alignment horizontal="center" vertical="center"/>
    </xf>
    <xf numFmtId="9" fontId="14" fillId="3" borderId="0" xfId="4" applyFont="1" applyFill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164" fontId="15" fillId="3" borderId="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9" fontId="0" fillId="0" borderId="0" xfId="4" applyFont="1"/>
    <xf numFmtId="0" fontId="2" fillId="0" borderId="26" xfId="0" applyFont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14" fillId="3" borderId="27" xfId="0" applyFont="1" applyFill="1" applyBorder="1" applyAlignment="1">
      <alignment horizontal="center"/>
    </xf>
    <xf numFmtId="166" fontId="14" fillId="3" borderId="31" xfId="2" applyNumberFormat="1" applyFont="1" applyFill="1" applyBorder="1" applyAlignment="1">
      <alignment horizontal="center"/>
    </xf>
    <xf numFmtId="166" fontId="14" fillId="3" borderId="0" xfId="2" applyNumberFormat="1" applyFont="1" applyFill="1" applyBorder="1" applyAlignment="1">
      <alignment horizontal="center"/>
    </xf>
    <xf numFmtId="166" fontId="14" fillId="3" borderId="26" xfId="2" applyNumberFormat="1" applyFont="1" applyFill="1" applyBorder="1" applyAlignment="1">
      <alignment horizontal="center"/>
    </xf>
    <xf numFmtId="10" fontId="0" fillId="0" borderId="0" xfId="4" applyNumberFormat="1" applyFont="1"/>
    <xf numFmtId="0" fontId="0" fillId="0" borderId="32" xfId="0" applyBorder="1" applyAlignment="1">
      <alignment horizontal="center"/>
    </xf>
    <xf numFmtId="9" fontId="0" fillId="0" borderId="1" xfId="4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3" xfId="0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2" fillId="12" borderId="27" xfId="0" applyFont="1" applyFill="1" applyBorder="1" applyAlignment="1">
      <alignment horizontal="center"/>
    </xf>
    <xf numFmtId="164" fontId="2" fillId="12" borderId="0" xfId="3" applyNumberFormat="1" applyFont="1" applyFill="1" applyBorder="1"/>
    <xf numFmtId="164" fontId="2" fillId="12" borderId="26" xfId="3" applyNumberFormat="1" applyFont="1" applyFill="1" applyBorder="1"/>
    <xf numFmtId="0" fontId="14" fillId="12" borderId="27" xfId="0" applyFont="1" applyFill="1" applyBorder="1" applyAlignment="1">
      <alignment horizontal="center"/>
    </xf>
    <xf numFmtId="164" fontId="14" fillId="12" borderId="0" xfId="3" applyNumberFormat="1" applyFont="1" applyFill="1" applyBorder="1"/>
    <xf numFmtId="164" fontId="14" fillId="12" borderId="26" xfId="3" applyNumberFormat="1" applyFont="1" applyFill="1" applyBorder="1"/>
    <xf numFmtId="167" fontId="0" fillId="0" borderId="0" xfId="4" applyNumberFormat="1" applyFont="1"/>
    <xf numFmtId="0" fontId="2" fillId="0" borderId="27" xfId="0" applyFont="1" applyBorder="1" applyAlignment="1">
      <alignment horizontal="center"/>
    </xf>
    <xf numFmtId="164" fontId="2" fillId="0" borderId="0" xfId="3" applyNumberFormat="1" applyFont="1" applyBorder="1"/>
    <xf numFmtId="164" fontId="2" fillId="0" borderId="26" xfId="3" applyNumberFormat="1" applyFont="1" applyBorder="1"/>
    <xf numFmtId="168" fontId="0" fillId="0" borderId="0" xfId="0" applyNumberFormat="1"/>
    <xf numFmtId="0" fontId="0" fillId="4" borderId="27" xfId="0" applyFill="1" applyBorder="1" applyAlignment="1">
      <alignment horizontal="center"/>
    </xf>
    <xf numFmtId="164" fontId="2" fillId="4" borderId="0" xfId="3" applyNumberFormat="1" applyFont="1" applyFill="1" applyBorder="1"/>
    <xf numFmtId="164" fontId="2" fillId="4" borderId="26" xfId="3" applyNumberFormat="1" applyFont="1" applyFill="1" applyBorder="1"/>
    <xf numFmtId="169" fontId="0" fillId="0" borderId="0" xfId="4" applyNumberFormat="1" applyFont="1"/>
    <xf numFmtId="164" fontId="14" fillId="3" borderId="0" xfId="0" applyNumberFormat="1" applyFont="1" applyFill="1" applyAlignment="1">
      <alignment horizontal="center"/>
    </xf>
    <xf numFmtId="164" fontId="14" fillId="3" borderId="26" xfId="0" applyNumberFormat="1" applyFont="1" applyFill="1" applyBorder="1" applyAlignment="1">
      <alignment horizontal="center"/>
    </xf>
    <xf numFmtId="9" fontId="14" fillId="3" borderId="0" xfId="4" applyFont="1" applyFill="1" applyBorder="1" applyAlignment="1">
      <alignment horizontal="center"/>
    </xf>
    <xf numFmtId="9" fontId="14" fillId="3" borderId="26" xfId="4" applyFont="1" applyFill="1" applyBorder="1" applyAlignment="1">
      <alignment horizontal="center"/>
    </xf>
    <xf numFmtId="169" fontId="19" fillId="0" borderId="0" xfId="4" applyNumberFormat="1" applyFont="1"/>
    <xf numFmtId="44" fontId="0" fillId="0" borderId="0" xfId="3" applyFont="1" applyBorder="1"/>
    <xf numFmtId="164" fontId="2" fillId="0" borderId="0" xfId="0" applyNumberFormat="1" applyFont="1" applyAlignment="1">
      <alignment horizontal="center"/>
    </xf>
    <xf numFmtId="44" fontId="2" fillId="0" borderId="0" xfId="3" applyFont="1" applyBorder="1"/>
    <xf numFmtId="0" fontId="13" fillId="6" borderId="11" xfId="0" applyFont="1" applyFill="1" applyBorder="1" applyAlignment="1">
      <alignment horizontal="center"/>
    </xf>
    <xf numFmtId="0" fontId="13" fillId="6" borderId="23" xfId="0" applyFont="1" applyFill="1" applyBorder="1" applyAlignment="1">
      <alignment horizontal="center"/>
    </xf>
    <xf numFmtId="0" fontId="13" fillId="6" borderId="24" xfId="0" applyFont="1" applyFill="1" applyBorder="1" applyAlignment="1">
      <alignment horizontal="center"/>
    </xf>
    <xf numFmtId="0" fontId="13" fillId="6" borderId="23" xfId="0" applyFont="1" applyFill="1" applyBorder="1"/>
    <xf numFmtId="0" fontId="2" fillId="9" borderId="27" xfId="0" applyFont="1" applyFill="1" applyBorder="1" applyAlignment="1">
      <alignment horizontal="center"/>
    </xf>
    <xf numFmtId="164" fontId="2" fillId="9" borderId="0" xfId="0" applyNumberFormat="1" applyFont="1" applyFill="1" applyAlignment="1">
      <alignment horizontal="center"/>
    </xf>
    <xf numFmtId="164" fontId="2" fillId="9" borderId="30" xfId="0" applyNumberFormat="1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9" fontId="14" fillId="3" borderId="1" xfId="4" applyFont="1" applyFill="1" applyBorder="1" applyAlignment="1">
      <alignment horizontal="center"/>
    </xf>
    <xf numFmtId="9" fontId="14" fillId="3" borderId="33" xfId="4" applyFont="1" applyFill="1" applyBorder="1" applyAlignment="1">
      <alignment horizontal="center"/>
    </xf>
    <xf numFmtId="10" fontId="0" fillId="0" borderId="0" xfId="0" applyNumberFormat="1"/>
    <xf numFmtId="169" fontId="0" fillId="0" borderId="0" xfId="0" applyNumberFormat="1"/>
    <xf numFmtId="0" fontId="0" fillId="5" borderId="34" xfId="0" applyFill="1" applyBorder="1"/>
    <xf numFmtId="0" fontId="0" fillId="5" borderId="4" xfId="0" applyFill="1" applyBorder="1"/>
    <xf numFmtId="0" fontId="2" fillId="4" borderId="35" xfId="0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3" fontId="0" fillId="0" borderId="0" xfId="2" applyNumberFormat="1" applyFont="1" applyAlignment="1">
      <alignment horizontal="center" vertical="center"/>
    </xf>
    <xf numFmtId="9" fontId="0" fillId="0" borderId="0" xfId="4" applyFont="1" applyAlignment="1">
      <alignment horizontal="center" vertical="center"/>
    </xf>
    <xf numFmtId="0" fontId="14" fillId="4" borderId="0" xfId="0" applyFont="1" applyFill="1" applyAlignment="1">
      <alignment horizontal="center"/>
    </xf>
    <xf numFmtId="0" fontId="15" fillId="0" borderId="1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164" fontId="0" fillId="0" borderId="22" xfId="3" applyNumberFormat="1" applyFont="1" applyBorder="1" applyAlignment="1">
      <alignment horizontal="center" vertical="center"/>
    </xf>
    <xf numFmtId="9" fontId="0" fillId="0" borderId="11" xfId="4" applyFont="1" applyBorder="1" applyAlignment="1">
      <alignment horizontal="center"/>
    </xf>
    <xf numFmtId="9" fontId="0" fillId="0" borderId="22" xfId="4" applyFont="1" applyBorder="1" applyAlignment="1">
      <alignment horizontal="center"/>
    </xf>
    <xf numFmtId="0" fontId="0" fillId="13" borderId="0" xfId="0" applyFill="1" applyAlignment="1">
      <alignment horizontal="center" vertical="center"/>
    </xf>
    <xf numFmtId="0" fontId="0" fillId="4" borderId="0" xfId="0" applyFill="1"/>
    <xf numFmtId="0" fontId="14" fillId="4" borderId="0" xfId="0" applyFont="1" applyFill="1"/>
    <xf numFmtId="164" fontId="14" fillId="4" borderId="0" xfId="3" applyNumberFormat="1" applyFont="1" applyFill="1"/>
    <xf numFmtId="0" fontId="12" fillId="0" borderId="0" xfId="0" applyFont="1"/>
    <xf numFmtId="164" fontId="12" fillId="0" borderId="0" xfId="3" applyNumberFormat="1" applyFont="1"/>
    <xf numFmtId="164" fontId="16" fillId="4" borderId="0" xfId="3" applyNumberFormat="1" applyFont="1" applyFill="1"/>
    <xf numFmtId="164" fontId="0" fillId="0" borderId="0" xfId="3" applyNumberFormat="1" applyFont="1" applyAlignment="1">
      <alignment horizontal="center" vertical="center"/>
    </xf>
    <xf numFmtId="0" fontId="0" fillId="0" borderId="0" xfId="4" applyNumberFormat="1" applyFont="1" applyAlignment="1">
      <alignment horizontal="center" vertical="center"/>
    </xf>
    <xf numFmtId="9" fontId="1" fillId="0" borderId="0" xfId="4" applyFont="1" applyAlignment="1">
      <alignment horizontal="center" vertical="center"/>
    </xf>
    <xf numFmtId="0" fontId="6" fillId="0" borderId="37" xfId="0" applyFont="1" applyBorder="1" applyAlignment="1">
      <alignment horizontal="center"/>
    </xf>
    <xf numFmtId="0" fontId="14" fillId="14" borderId="38" xfId="0" applyFont="1" applyFill="1" applyBorder="1"/>
    <xf numFmtId="0" fontId="2" fillId="0" borderId="19" xfId="0" applyFont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0" fontId="2" fillId="8" borderId="39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4" borderId="39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7" borderId="3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15" borderId="39" xfId="0" applyFont="1" applyFill="1" applyBorder="1" applyAlignment="1">
      <alignment horizontal="center"/>
    </xf>
    <xf numFmtId="0" fontId="2" fillId="15" borderId="1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5" borderId="16" xfId="0" applyFill="1" applyBorder="1"/>
    <xf numFmtId="0" fontId="0" fillId="5" borderId="17" xfId="0" applyFill="1" applyBorder="1"/>
    <xf numFmtId="0" fontId="0" fillId="5" borderId="0" xfId="0" applyFill="1"/>
    <xf numFmtId="0" fontId="0" fillId="5" borderId="26" xfId="0" applyFill="1" applyBorder="1"/>
    <xf numFmtId="0" fontId="18" fillId="6" borderId="7" xfId="0" applyFont="1" applyFill="1" applyBorder="1" applyAlignment="1">
      <alignment horizontal="center" vertical="center"/>
    </xf>
    <xf numFmtId="0" fontId="21" fillId="6" borderId="8" xfId="0" applyFont="1" applyFill="1" applyBorder="1"/>
    <xf numFmtId="0" fontId="21" fillId="6" borderId="18" xfId="0" applyFont="1" applyFill="1" applyBorder="1"/>
    <xf numFmtId="0" fontId="21" fillId="6" borderId="40" xfId="0" applyFont="1" applyFill="1" applyBorder="1"/>
    <xf numFmtId="0" fontId="2" fillId="14" borderId="16" xfId="0" applyFont="1" applyFill="1" applyBorder="1" applyAlignment="1">
      <alignment horizontal="center" vertical="center"/>
    </xf>
    <xf numFmtId="0" fontId="0" fillId="14" borderId="17" xfId="0" applyFill="1" applyBorder="1"/>
    <xf numFmtId="0" fontId="12" fillId="14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14" borderId="17" xfId="0" applyFill="1" applyBorder="1" applyAlignment="1">
      <alignment horizontal="center"/>
    </xf>
    <xf numFmtId="166" fontId="12" fillId="0" borderId="0" xfId="2" applyNumberFormat="1" applyFont="1" applyFill="1" applyBorder="1" applyAlignment="1">
      <alignment horizontal="center" vertical="center"/>
    </xf>
    <xf numFmtId="166" fontId="1" fillId="0" borderId="0" xfId="2" applyNumberFormat="1" applyFont="1" applyFill="1" applyBorder="1" applyAlignment="1">
      <alignment horizontal="center" vertical="center"/>
    </xf>
    <xf numFmtId="166" fontId="16" fillId="0" borderId="0" xfId="2" applyNumberFormat="1" applyFont="1" applyFill="1" applyBorder="1" applyAlignment="1">
      <alignment horizontal="center" vertical="center"/>
    </xf>
    <xf numFmtId="166" fontId="14" fillId="0" borderId="0" xfId="2" applyNumberFormat="1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/>
    </xf>
    <xf numFmtId="0" fontId="22" fillId="3" borderId="0" xfId="0" applyFont="1" applyFill="1" applyAlignment="1">
      <alignment horizontal="center" vertical="center"/>
    </xf>
    <xf numFmtId="166" fontId="22" fillId="3" borderId="0" xfId="2" applyNumberFormat="1" applyFont="1" applyFill="1" applyBorder="1" applyAlignment="1">
      <alignment horizontal="center" vertical="center"/>
    </xf>
    <xf numFmtId="166" fontId="2" fillId="3" borderId="0" xfId="2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166" fontId="0" fillId="14" borderId="17" xfId="0" applyNumberFormat="1" applyFill="1" applyBorder="1"/>
    <xf numFmtId="0" fontId="2" fillId="0" borderId="16" xfId="0" applyFont="1" applyBorder="1"/>
    <xf numFmtId="0" fontId="14" fillId="0" borderId="16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0" fillId="0" borderId="16" xfId="0" applyBorder="1" applyAlignment="1">
      <alignment horizontal="right"/>
    </xf>
    <xf numFmtId="166" fontId="0" fillId="0" borderId="0" xfId="2" applyNumberFormat="1" applyFont="1" applyFill="1" applyBorder="1" applyAlignment="1">
      <alignment horizontal="center" vertical="center"/>
    </xf>
    <xf numFmtId="0" fontId="23" fillId="0" borderId="16" xfId="0" applyFont="1" applyBorder="1" applyAlignment="1">
      <alignment horizontal="right"/>
    </xf>
    <xf numFmtId="0" fontId="14" fillId="14" borderId="17" xfId="0" applyFont="1" applyFill="1" applyBorder="1"/>
    <xf numFmtId="0" fontId="16" fillId="0" borderId="0" xfId="0" applyFont="1" applyAlignment="1">
      <alignment horizontal="center" vertical="center"/>
    </xf>
    <xf numFmtId="166" fontId="23" fillId="0" borderId="0" xfId="2" applyNumberFormat="1" applyFont="1" applyFill="1" applyBorder="1" applyAlignment="1">
      <alignment horizontal="center" vertical="center"/>
    </xf>
    <xf numFmtId="0" fontId="0" fillId="0" borderId="16" xfId="0" applyBorder="1"/>
    <xf numFmtId="0" fontId="2" fillId="3" borderId="16" xfId="0" applyFont="1" applyFill="1" applyBorder="1" applyAlignment="1">
      <alignment horizontal="right"/>
    </xf>
    <xf numFmtId="0" fontId="24" fillId="3" borderId="16" xfId="0" applyFont="1" applyFill="1" applyBorder="1" applyAlignment="1">
      <alignment horizontal="right"/>
    </xf>
    <xf numFmtId="166" fontId="24" fillId="3" borderId="0" xfId="2" applyNumberFormat="1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6" fontId="16" fillId="3" borderId="0" xfId="2" applyNumberFormat="1" applyFont="1" applyFill="1" applyBorder="1" applyAlignment="1">
      <alignment horizontal="center" vertical="center"/>
    </xf>
    <xf numFmtId="166" fontId="14" fillId="3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16" xfId="0" applyFont="1" applyFill="1" applyBorder="1" applyAlignment="1">
      <alignment horizontal="right"/>
    </xf>
    <xf numFmtId="0" fontId="23" fillId="3" borderId="16" xfId="0" applyFont="1" applyFill="1" applyBorder="1" applyAlignment="1">
      <alignment horizontal="right"/>
    </xf>
    <xf numFmtId="166" fontId="23" fillId="3" borderId="0" xfId="2" applyNumberFormat="1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3" fontId="12" fillId="0" borderId="0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16" fillId="0" borderId="0" xfId="3" applyNumberFormat="1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/>
    </xf>
    <xf numFmtId="164" fontId="0" fillId="14" borderId="17" xfId="3" applyNumberFormat="1" applyFont="1" applyFill="1" applyBorder="1"/>
    <xf numFmtId="164" fontId="22" fillId="9" borderId="0" xfId="0" applyNumberFormat="1" applyFont="1" applyFill="1" applyAlignment="1">
      <alignment horizontal="center" vertical="center"/>
    </xf>
    <xf numFmtId="164" fontId="2" fillId="9" borderId="0" xfId="0" applyNumberFormat="1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6" fillId="9" borderId="16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164" fontId="17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center" vertical="center"/>
    </xf>
    <xf numFmtId="0" fontId="6" fillId="9" borderId="0" xfId="0" applyFont="1" applyFill="1" applyAlignment="1">
      <alignment horizontal="center" vertical="center"/>
    </xf>
    <xf numFmtId="44" fontId="0" fillId="0" borderId="0" xfId="3" applyFont="1" applyFill="1" applyBorder="1" applyAlignment="1">
      <alignment horizontal="center" vertical="center"/>
    </xf>
    <xf numFmtId="164" fontId="22" fillId="3" borderId="0" xfId="0" applyNumberFormat="1" applyFont="1" applyFill="1" applyAlignment="1">
      <alignment horizontal="center" vertical="center"/>
    </xf>
    <xf numFmtId="0" fontId="0" fillId="0" borderId="16" xfId="0" applyBorder="1" applyAlignment="1">
      <alignment horizontal="right" vertical="center"/>
    </xf>
    <xf numFmtId="164" fontId="12" fillId="0" borderId="0" xfId="3" applyNumberFormat="1" applyFont="1" applyFill="1" applyBorder="1" applyAlignment="1">
      <alignment horizontal="center" vertical="center"/>
    </xf>
    <xf numFmtId="0" fontId="25" fillId="0" borderId="16" xfId="0" applyFont="1" applyBorder="1" applyAlignment="1">
      <alignment horizontal="right" vertical="center"/>
    </xf>
    <xf numFmtId="164" fontId="25" fillId="14" borderId="17" xfId="3" applyNumberFormat="1" applyFont="1" applyFill="1" applyBorder="1"/>
    <xf numFmtId="0" fontId="25" fillId="0" borderId="0" xfId="0" applyFont="1" applyAlignment="1">
      <alignment horizontal="center" vertical="center"/>
    </xf>
    <xf numFmtId="164" fontId="25" fillId="0" borderId="0" xfId="3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0" fontId="19" fillId="0" borderId="16" xfId="0" applyFont="1" applyBorder="1" applyAlignment="1">
      <alignment horizontal="right" vertical="center"/>
    </xf>
    <xf numFmtId="164" fontId="19" fillId="0" borderId="0" xfId="0" applyNumberFormat="1" applyFont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164" fontId="12" fillId="0" borderId="0" xfId="0" applyNumberFormat="1" applyFont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164" fontId="14" fillId="14" borderId="17" xfId="3" applyNumberFormat="1" applyFont="1" applyFill="1" applyBorder="1"/>
    <xf numFmtId="164" fontId="0" fillId="0" borderId="16" xfId="0" applyNumberForma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164" fontId="17" fillId="3" borderId="0" xfId="0" applyNumberFormat="1" applyFont="1" applyFill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14" borderId="17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164" fontId="26" fillId="4" borderId="0" xfId="0" applyNumberFormat="1" applyFont="1" applyFill="1" applyAlignment="1">
      <alignment horizontal="center" vertical="center"/>
    </xf>
    <xf numFmtId="164" fontId="27" fillId="3" borderId="0" xfId="0" applyNumberFormat="1" applyFont="1" applyFill="1" applyAlignment="1">
      <alignment horizontal="center" vertical="center"/>
    </xf>
    <xf numFmtId="164" fontId="26" fillId="14" borderId="17" xfId="3" applyNumberFormat="1" applyFont="1" applyFill="1" applyBorder="1"/>
    <xf numFmtId="164" fontId="28" fillId="3" borderId="0" xfId="0" applyNumberFormat="1" applyFont="1" applyFill="1" applyAlignment="1">
      <alignment horizontal="center" vertical="center"/>
    </xf>
    <xf numFmtId="164" fontId="29" fillId="14" borderId="17" xfId="3" applyNumberFormat="1" applyFont="1" applyFill="1" applyBorder="1"/>
    <xf numFmtId="164" fontId="30" fillId="14" borderId="17" xfId="3" applyNumberFormat="1" applyFont="1" applyFill="1" applyBorder="1"/>
    <xf numFmtId="0" fontId="22" fillId="14" borderId="0" xfId="0" applyFont="1" applyFill="1" applyAlignment="1">
      <alignment horizontal="center" vertical="center"/>
    </xf>
    <xf numFmtId="164" fontId="22" fillId="14" borderId="0" xfId="0" applyNumberFormat="1" applyFont="1" applyFill="1" applyAlignment="1">
      <alignment horizontal="center" vertical="center"/>
    </xf>
    <xf numFmtId="164" fontId="30" fillId="14" borderId="0" xfId="0" applyNumberFormat="1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" fillId="14" borderId="17" xfId="0" applyFont="1" applyFill="1" applyBorder="1"/>
    <xf numFmtId="164" fontId="31" fillId="14" borderId="17" xfId="3" applyNumberFormat="1" applyFont="1" applyFill="1" applyBorder="1"/>
    <xf numFmtId="0" fontId="17" fillId="0" borderId="0" xfId="0" applyFont="1" applyAlignment="1">
      <alignment horizontal="center" vertical="center"/>
    </xf>
    <xf numFmtId="9" fontId="17" fillId="3" borderId="0" xfId="4" applyFont="1" applyFill="1" applyBorder="1" applyAlignment="1">
      <alignment horizontal="center" vertical="center"/>
    </xf>
    <xf numFmtId="9" fontId="6" fillId="3" borderId="0" xfId="4" applyFont="1" applyFill="1" applyBorder="1" applyAlignment="1">
      <alignment horizontal="center" vertical="center"/>
    </xf>
    <xf numFmtId="167" fontId="0" fillId="0" borderId="0" xfId="4" applyNumberFormat="1" applyFont="1" applyAlignment="1">
      <alignment horizontal="center" vertical="center"/>
    </xf>
    <xf numFmtId="167" fontId="0" fillId="13" borderId="0" xfId="4" applyNumberFormat="1" applyFont="1" applyFill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1" fontId="0" fillId="0" borderId="0" xfId="0" applyNumberFormat="1"/>
    <xf numFmtId="164" fontId="2" fillId="2" borderId="0" xfId="3" applyNumberFormat="1" applyFont="1" applyFill="1" applyAlignment="1">
      <alignment horizontal="center" vertical="center"/>
    </xf>
    <xf numFmtId="9" fontId="2" fillId="2" borderId="0" xfId="4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69" fontId="2" fillId="3" borderId="0" xfId="4" applyNumberFormat="1" applyFont="1" applyFill="1" applyAlignment="1">
      <alignment horizontal="center" vertical="center"/>
    </xf>
    <xf numFmtId="9" fontId="22" fillId="6" borderId="4" xfId="4" applyFont="1" applyFill="1" applyBorder="1"/>
    <xf numFmtId="9" fontId="15" fillId="2" borderId="18" xfId="4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9" fontId="15" fillId="3" borderId="18" xfId="4" applyFont="1" applyFill="1" applyBorder="1" applyAlignment="1">
      <alignment horizontal="center" vertical="center"/>
    </xf>
    <xf numFmtId="0" fontId="15" fillId="16" borderId="7" xfId="0" applyFont="1" applyFill="1" applyBorder="1" applyAlignment="1">
      <alignment horizontal="center" vertical="center"/>
    </xf>
    <xf numFmtId="164" fontId="15" fillId="16" borderId="18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0" xfId="1" applyAlignment="1">
      <alignment horizontal="center"/>
    </xf>
    <xf numFmtId="166" fontId="2" fillId="3" borderId="0" xfId="1" applyNumberFormat="1" applyFill="1" applyBorder="1" applyAlignment="1">
      <alignment horizontal="center"/>
    </xf>
    <xf numFmtId="164" fontId="2" fillId="12" borderId="0" xfId="1" applyNumberFormat="1" applyFill="1" applyBorder="1"/>
    <xf numFmtId="164" fontId="2" fillId="0" borderId="0" xfId="1" applyNumberFormat="1" applyBorder="1"/>
    <xf numFmtId="164" fontId="2" fillId="4" borderId="0" xfId="1" applyNumberFormat="1" applyFill="1" applyBorder="1"/>
    <xf numFmtId="164" fontId="2" fillId="3" borderId="0" xfId="1" applyNumberFormat="1" applyFill="1" applyAlignment="1">
      <alignment horizontal="center"/>
    </xf>
    <xf numFmtId="9" fontId="2" fillId="3" borderId="0" xfId="1" applyNumberFormat="1" applyFill="1" applyBorder="1" applyAlignment="1">
      <alignment horizontal="center"/>
    </xf>
    <xf numFmtId="0" fontId="2" fillId="6" borderId="23" xfId="1" applyFill="1" applyBorder="1" applyAlignment="1">
      <alignment horizontal="center"/>
    </xf>
    <xf numFmtId="164" fontId="2" fillId="9" borderId="0" xfId="1" applyNumberFormat="1" applyFill="1" applyAlignment="1">
      <alignment horizontal="center"/>
    </xf>
    <xf numFmtId="9" fontId="2" fillId="3" borderId="1" xfId="1" applyNumberFormat="1" applyFill="1" applyBorder="1" applyAlignment="1">
      <alignment horizontal="center"/>
    </xf>
    <xf numFmtId="0" fontId="2" fillId="0" borderId="0" xfId="1"/>
    <xf numFmtId="0" fontId="12" fillId="6" borderId="4" xfId="0" applyFont="1" applyFill="1" applyBorder="1"/>
    <xf numFmtId="0" fontId="0" fillId="17" borderId="0" xfId="0" applyFill="1"/>
    <xf numFmtId="0" fontId="0" fillId="17" borderId="0" xfId="0" applyFill="1" applyAlignment="1"/>
    <xf numFmtId="3" fontId="0" fillId="17" borderId="0" xfId="0" applyNumberFormat="1" applyFill="1"/>
    <xf numFmtId="6" fontId="0" fillId="17" borderId="0" xfId="0" applyNumberFormat="1" applyFill="1"/>
    <xf numFmtId="172" fontId="0" fillId="17" borderId="0" xfId="0" applyNumberFormat="1" applyFill="1"/>
    <xf numFmtId="0" fontId="13" fillId="17" borderId="0" xfId="0" applyFont="1" applyFill="1"/>
    <xf numFmtId="3" fontId="13" fillId="17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17" borderId="0" xfId="0" applyFill="1" applyAlignment="1">
      <alignment horizontal="center"/>
    </xf>
    <xf numFmtId="3" fontId="33" fillId="17" borderId="0" xfId="0" applyNumberFormat="1" applyFont="1" applyFill="1" applyBorder="1" applyAlignment="1">
      <alignment horizontal="center" vertical="center"/>
    </xf>
    <xf numFmtId="3" fontId="34" fillId="17" borderId="0" xfId="0" applyNumberFormat="1" applyFont="1" applyFill="1" applyBorder="1" applyAlignment="1">
      <alignment horizontal="center" vertical="center"/>
    </xf>
    <xf numFmtId="0" fontId="35" fillId="0" borderId="0" xfId="8"/>
    <xf numFmtId="0" fontId="9" fillId="0" borderId="0" xfId="5"/>
    <xf numFmtId="0" fontId="40" fillId="0" borderId="0" xfId="0" applyFont="1"/>
    <xf numFmtId="0" fontId="37" fillId="0" borderId="43" xfId="10"/>
    <xf numFmtId="42" fontId="39" fillId="18" borderId="45" xfId="12" applyNumberFormat="1"/>
    <xf numFmtId="9" fontId="39" fillId="18" borderId="45" xfId="12" applyNumberFormat="1"/>
    <xf numFmtId="10" fontId="39" fillId="18" borderId="45" xfId="12" applyNumberFormat="1"/>
    <xf numFmtId="167" fontId="0" fillId="0" borderId="0" xfId="0" applyNumberFormat="1"/>
    <xf numFmtId="166" fontId="39" fillId="18" borderId="45" xfId="12" applyNumberFormat="1"/>
    <xf numFmtId="42" fontId="0" fillId="0" borderId="0" xfId="7" applyFont="1"/>
    <xf numFmtId="43" fontId="0" fillId="0" borderId="0" xfId="2" applyFont="1"/>
    <xf numFmtId="173" fontId="0" fillId="0" borderId="0" xfId="2" applyNumberFormat="1" applyFont="1"/>
    <xf numFmtId="0" fontId="36" fillId="0" borderId="42" xfId="9"/>
    <xf numFmtId="0" fontId="13" fillId="19" borderId="0" xfId="14" applyAlignment="1">
      <alignment horizontal="right"/>
    </xf>
    <xf numFmtId="42" fontId="0" fillId="0" borderId="0" xfId="0" applyNumberFormat="1"/>
    <xf numFmtId="0" fontId="0" fillId="0" borderId="47" xfId="0" applyBorder="1"/>
    <xf numFmtId="42" fontId="0" fillId="0" borderId="47" xfId="0" applyNumberFormat="1" applyBorder="1"/>
    <xf numFmtId="0" fontId="2" fillId="0" borderId="46" xfId="13"/>
    <xf numFmtId="42" fontId="2" fillId="0" borderId="46" xfId="13" applyNumberFormat="1"/>
    <xf numFmtId="166" fontId="0" fillId="0" borderId="0" xfId="0" applyNumberFormat="1"/>
    <xf numFmtId="42" fontId="0" fillId="0" borderId="47" xfId="7" applyFont="1" applyBorder="1"/>
    <xf numFmtId="42" fontId="2" fillId="0" borderId="46" xfId="7" applyFont="1" applyBorder="1"/>
    <xf numFmtId="0" fontId="38" fillId="0" borderId="44" xfId="11"/>
    <xf numFmtId="0" fontId="1" fillId="0" borderId="46" xfId="13" applyFont="1"/>
    <xf numFmtId="0" fontId="14" fillId="0" borderId="0" xfId="13" applyFont="1" applyFill="1" applyBorder="1"/>
    <xf numFmtId="0" fontId="13" fillId="20" borderId="0" xfId="15" applyAlignment="1">
      <alignment horizontal="right"/>
    </xf>
    <xf numFmtId="0" fontId="13" fillId="21" borderId="0" xfId="16" applyAlignment="1">
      <alignment horizontal="right"/>
    </xf>
    <xf numFmtId="167" fontId="39" fillId="18" borderId="45" xfId="12" applyNumberFormat="1"/>
    <xf numFmtId="0" fontId="1" fillId="22" borderId="0" xfId="17"/>
    <xf numFmtId="173" fontId="1" fillId="22" borderId="0" xfId="17" applyNumberFormat="1"/>
    <xf numFmtId="0" fontId="13" fillId="20" borderId="0" xfId="15"/>
    <xf numFmtId="42" fontId="13" fillId="20" borderId="0" xfId="15" applyNumberFormat="1"/>
    <xf numFmtId="42" fontId="0" fillId="0" borderId="0" xfId="3" applyNumberFormat="1" applyFont="1"/>
    <xf numFmtId="0" fontId="41" fillId="0" borderId="0" xfId="8" applyFont="1"/>
    <xf numFmtId="0" fontId="0" fillId="23" borderId="0" xfId="0" applyFill="1"/>
    <xf numFmtId="0" fontId="37" fillId="0" borderId="0" xfId="10" applyBorder="1"/>
    <xf numFmtId="0" fontId="42" fillId="0" borderId="0" xfId="0" applyFont="1"/>
    <xf numFmtId="0" fontId="9" fillId="0" borderId="0" xfId="5" applyBorder="1"/>
    <xf numFmtId="0" fontId="43" fillId="0" borderId="0" xfId="0" applyFont="1"/>
    <xf numFmtId="0" fontId="43" fillId="24" borderId="0" xfId="0" applyFont="1" applyFill="1"/>
    <xf numFmtId="41" fontId="0" fillId="0" borderId="0" xfId="6" applyFont="1"/>
    <xf numFmtId="174" fontId="0" fillId="0" borderId="0" xfId="3" applyNumberFormat="1" applyFont="1"/>
    <xf numFmtId="174" fontId="2" fillId="0" borderId="46" xfId="13" applyNumberFormat="1"/>
    <xf numFmtId="175" fontId="0" fillId="0" borderId="0" xfId="0" applyNumberFormat="1"/>
    <xf numFmtId="176" fontId="0" fillId="0" borderId="0" xfId="0" applyNumberFormat="1"/>
    <xf numFmtId="166" fontId="0" fillId="0" borderId="0" xfId="2" applyNumberFormat="1" applyFont="1"/>
    <xf numFmtId="0" fontId="0" fillId="0" borderId="23" xfId="0" applyBorder="1"/>
    <xf numFmtId="0" fontId="0" fillId="0" borderId="1" xfId="0" applyBorder="1"/>
    <xf numFmtId="166" fontId="0" fillId="0" borderId="23" xfId="0" applyNumberFormat="1" applyBorder="1"/>
    <xf numFmtId="167" fontId="0" fillId="0" borderId="23" xfId="0" applyNumberFormat="1" applyBorder="1"/>
    <xf numFmtId="9" fontId="0" fillId="0" borderId="0" xfId="0" applyNumberFormat="1"/>
    <xf numFmtId="164" fontId="2" fillId="0" borderId="46" xfId="13" applyNumberFormat="1"/>
    <xf numFmtId="0" fontId="34" fillId="0" borderId="0" xfId="0" applyFont="1"/>
    <xf numFmtId="0" fontId="14" fillId="23" borderId="0" xfId="0" applyFont="1" applyFill="1"/>
    <xf numFmtId="0" fontId="0" fillId="0" borderId="11" xfId="0" applyBorder="1" applyAlignment="1">
      <alignment horizontal="center" vertical="center"/>
    </xf>
    <xf numFmtId="0" fontId="0" fillId="0" borderId="11" xfId="0" applyBorder="1"/>
    <xf numFmtId="3" fontId="0" fillId="0" borderId="11" xfId="0" applyNumberFormat="1" applyBorder="1" applyAlignment="1">
      <alignment horizontal="center" vertical="center"/>
    </xf>
    <xf numFmtId="3" fontId="0" fillId="0" borderId="0" xfId="0" applyNumberFormat="1"/>
    <xf numFmtId="172" fontId="0" fillId="0" borderId="0" xfId="0" applyNumberFormat="1"/>
    <xf numFmtId="172" fontId="33" fillId="17" borderId="0" xfId="0" applyNumberFormat="1" applyFont="1" applyFill="1" applyBorder="1" applyAlignment="1">
      <alignment horizontal="center" vertical="center"/>
    </xf>
    <xf numFmtId="172" fontId="0" fillId="0" borderId="25" xfId="0" applyNumberFormat="1" applyBorder="1"/>
    <xf numFmtId="172" fontId="0" fillId="0" borderId="27" xfId="0" applyNumberFormat="1" applyBorder="1"/>
    <xf numFmtId="172" fontId="0" fillId="0" borderId="13" xfId="0" applyNumberFormat="1" applyBorder="1"/>
    <xf numFmtId="172" fontId="0" fillId="9" borderId="11" xfId="0" applyNumberFormat="1" applyFill="1" applyBorder="1"/>
    <xf numFmtId="9" fontId="0" fillId="0" borderId="0" xfId="0" applyNumberFormat="1" applyAlignment="1">
      <alignment horizontal="center" vertical="center"/>
    </xf>
    <xf numFmtId="172" fontId="0" fillId="25" borderId="0" xfId="0" applyNumberFormat="1" applyFill="1"/>
    <xf numFmtId="172" fontId="0" fillId="25" borderId="11" xfId="0" applyNumberFormat="1" applyFill="1" applyBorder="1"/>
    <xf numFmtId="3" fontId="0" fillId="17" borderId="0" xfId="0" applyNumberFormat="1" applyFill="1" applyAlignment="1">
      <alignment horizontal="center"/>
    </xf>
    <xf numFmtId="0" fontId="45" fillId="17" borderId="0" xfId="0" applyFont="1" applyFill="1" applyAlignment="1">
      <alignment horizontal="right" indent="1"/>
    </xf>
    <xf numFmtId="0" fontId="45" fillId="17" borderId="0" xfId="0" applyFont="1" applyFill="1"/>
    <xf numFmtId="3" fontId="45" fillId="17" borderId="0" xfId="0" applyNumberFormat="1" applyFont="1" applyFill="1" applyAlignment="1">
      <alignment horizontal="center" vertical="center"/>
    </xf>
    <xf numFmtId="3" fontId="45" fillId="17" borderId="0" xfId="0" applyNumberFormat="1" applyFont="1" applyFill="1" applyAlignment="1">
      <alignment horizontal="center"/>
    </xf>
    <xf numFmtId="0" fontId="0" fillId="17" borderId="0" xfId="0" applyFill="1" applyAlignment="1">
      <alignment horizontal="left"/>
    </xf>
    <xf numFmtId="0" fontId="0" fillId="4" borderId="0" xfId="0" applyFill="1" applyAlignment="1">
      <alignment horizontal="center"/>
    </xf>
    <xf numFmtId="0" fontId="0" fillId="26" borderId="0" xfId="0" applyFill="1" applyAlignment="1">
      <alignment horizontal="center" vertical="center"/>
    </xf>
    <xf numFmtId="1" fontId="0" fillId="12" borderId="0" xfId="0" applyNumberFormat="1" applyFill="1" applyAlignment="1">
      <alignment horizontal="center"/>
    </xf>
    <xf numFmtId="1" fontId="0" fillId="10" borderId="0" xfId="0" applyNumberFormat="1" applyFill="1" applyAlignment="1">
      <alignment horizontal="center" vertical="center"/>
    </xf>
    <xf numFmtId="0" fontId="54" fillId="17" borderId="0" xfId="0" applyFont="1" applyFill="1"/>
    <xf numFmtId="0" fontId="56" fillId="17" borderId="0" xfId="0" applyFont="1" applyFill="1"/>
    <xf numFmtId="0" fontId="51" fillId="17" borderId="0" xfId="0" applyFont="1" applyFill="1"/>
    <xf numFmtId="3" fontId="56" fillId="17" borderId="0" xfId="0" applyNumberFormat="1" applyFont="1" applyFill="1" applyBorder="1" applyAlignment="1">
      <alignment vertical="center"/>
    </xf>
    <xf numFmtId="0" fontId="55" fillId="17" borderId="0" xfId="0" applyFont="1" applyFill="1"/>
    <xf numFmtId="0" fontId="57" fillId="17" borderId="0" xfId="0" applyFont="1" applyFill="1"/>
    <xf numFmtId="172" fontId="47" fillId="28" borderId="0" xfId="0" applyNumberFormat="1" applyFont="1" applyFill="1" applyBorder="1" applyAlignment="1">
      <alignment horizontal="center" vertical="center"/>
    </xf>
    <xf numFmtId="172" fontId="47" fillId="17" borderId="0" xfId="0" applyNumberFormat="1" applyFont="1" applyFill="1" applyBorder="1" applyAlignment="1">
      <alignment horizontal="center" vertical="center"/>
    </xf>
    <xf numFmtId="172" fontId="48" fillId="3" borderId="28" xfId="0" applyNumberFormat="1" applyFont="1" applyFill="1" applyBorder="1" applyAlignment="1">
      <alignment horizontal="center" vertical="center"/>
    </xf>
    <xf numFmtId="172" fontId="48" fillId="3" borderId="30" xfId="0" applyNumberFormat="1" applyFont="1" applyFill="1" applyBorder="1" applyAlignment="1">
      <alignment horizontal="center" vertical="center"/>
    </xf>
    <xf numFmtId="172" fontId="48" fillId="3" borderId="31" xfId="0" applyNumberFormat="1" applyFont="1" applyFill="1" applyBorder="1" applyAlignment="1">
      <alignment horizontal="center" vertical="center"/>
    </xf>
    <xf numFmtId="172" fontId="48" fillId="3" borderId="26" xfId="0" applyNumberFormat="1" applyFont="1" applyFill="1" applyBorder="1" applyAlignment="1">
      <alignment horizontal="center" vertical="center"/>
    </xf>
    <xf numFmtId="172" fontId="48" fillId="3" borderId="32" xfId="0" applyNumberFormat="1" applyFont="1" applyFill="1" applyBorder="1" applyAlignment="1">
      <alignment horizontal="center" vertical="center"/>
    </xf>
    <xf numFmtId="172" fontId="48" fillId="3" borderId="33" xfId="0" applyNumberFormat="1" applyFont="1" applyFill="1" applyBorder="1" applyAlignment="1">
      <alignment horizontal="center" vertical="center"/>
    </xf>
    <xf numFmtId="6" fontId="49" fillId="17" borderId="28" xfId="0" applyNumberFormat="1" applyFont="1" applyFill="1" applyBorder="1" applyAlignment="1">
      <alignment horizontal="center" vertical="center"/>
    </xf>
    <xf numFmtId="6" fontId="49" fillId="17" borderId="29" xfId="0" applyNumberFormat="1" applyFont="1" applyFill="1" applyBorder="1" applyAlignment="1">
      <alignment horizontal="center" vertical="center"/>
    </xf>
    <xf numFmtId="6" fontId="49" fillId="17" borderId="30" xfId="0" applyNumberFormat="1" applyFont="1" applyFill="1" applyBorder="1" applyAlignment="1">
      <alignment horizontal="center" vertical="center"/>
    </xf>
    <xf numFmtId="6" fontId="49" fillId="17" borderId="31" xfId="0" applyNumberFormat="1" applyFont="1" applyFill="1" applyBorder="1" applyAlignment="1">
      <alignment horizontal="center" vertical="center"/>
    </xf>
    <xf numFmtId="6" fontId="49" fillId="17" borderId="0" xfId="0" applyNumberFormat="1" applyFont="1" applyFill="1" applyBorder="1" applyAlignment="1">
      <alignment horizontal="center" vertical="center"/>
    </xf>
    <xf numFmtId="6" fontId="49" fillId="17" borderId="26" xfId="0" applyNumberFormat="1" applyFont="1" applyFill="1" applyBorder="1" applyAlignment="1">
      <alignment horizontal="center" vertical="center"/>
    </xf>
    <xf numFmtId="6" fontId="49" fillId="17" borderId="32" xfId="0" applyNumberFormat="1" applyFont="1" applyFill="1" applyBorder="1" applyAlignment="1">
      <alignment horizontal="center" vertical="center"/>
    </xf>
    <xf numFmtId="6" fontId="49" fillId="17" borderId="1" xfId="0" applyNumberFormat="1" applyFont="1" applyFill="1" applyBorder="1" applyAlignment="1">
      <alignment horizontal="center" vertical="center"/>
    </xf>
    <xf numFmtId="6" fontId="49" fillId="17" borderId="33" xfId="0" applyNumberFormat="1" applyFont="1" applyFill="1" applyBorder="1" applyAlignment="1">
      <alignment horizontal="center" vertical="center"/>
    </xf>
    <xf numFmtId="10" fontId="50" fillId="17" borderId="28" xfId="0" applyNumberFormat="1" applyFont="1" applyFill="1" applyBorder="1" applyAlignment="1">
      <alignment horizontal="center" vertical="center"/>
    </xf>
    <xf numFmtId="10" fontId="50" fillId="17" borderId="30" xfId="0" applyNumberFormat="1" applyFont="1" applyFill="1" applyBorder="1" applyAlignment="1">
      <alignment horizontal="center" vertical="center"/>
    </xf>
    <xf numFmtId="10" fontId="50" fillId="17" borderId="31" xfId="0" applyNumberFormat="1" applyFont="1" applyFill="1" applyBorder="1" applyAlignment="1">
      <alignment horizontal="center" vertical="center"/>
    </xf>
    <xf numFmtId="10" fontId="50" fillId="17" borderId="26" xfId="0" applyNumberFormat="1" applyFont="1" applyFill="1" applyBorder="1" applyAlignment="1">
      <alignment horizontal="center" vertical="center"/>
    </xf>
    <xf numFmtId="10" fontId="50" fillId="17" borderId="32" xfId="0" applyNumberFormat="1" applyFont="1" applyFill="1" applyBorder="1" applyAlignment="1">
      <alignment horizontal="center" vertical="center"/>
    </xf>
    <xf numFmtId="10" fontId="50" fillId="17" borderId="33" xfId="0" applyNumberFormat="1" applyFont="1" applyFill="1" applyBorder="1" applyAlignment="1">
      <alignment horizontal="center" vertical="center"/>
    </xf>
    <xf numFmtId="171" fontId="0" fillId="17" borderId="0" xfId="0" applyNumberFormat="1" applyFill="1" applyAlignment="1">
      <alignment horizontal="center"/>
    </xf>
    <xf numFmtId="10" fontId="33" fillId="2" borderId="28" xfId="0" applyNumberFormat="1" applyFont="1" applyFill="1" applyBorder="1" applyAlignment="1">
      <alignment horizontal="center" vertical="center"/>
    </xf>
    <xf numFmtId="10" fontId="33" fillId="2" borderId="30" xfId="0" applyNumberFormat="1" applyFont="1" applyFill="1" applyBorder="1" applyAlignment="1">
      <alignment horizontal="center" vertical="center"/>
    </xf>
    <xf numFmtId="10" fontId="33" fillId="2" borderId="31" xfId="0" applyNumberFormat="1" applyFont="1" applyFill="1" applyBorder="1" applyAlignment="1">
      <alignment horizontal="center" vertical="center"/>
    </xf>
    <xf numFmtId="10" fontId="33" fillId="2" borderId="26" xfId="0" applyNumberFormat="1" applyFont="1" applyFill="1" applyBorder="1" applyAlignment="1">
      <alignment horizontal="center" vertical="center"/>
    </xf>
    <xf numFmtId="10" fontId="33" fillId="2" borderId="32" xfId="0" applyNumberFormat="1" applyFont="1" applyFill="1" applyBorder="1" applyAlignment="1">
      <alignment horizontal="center" vertical="center"/>
    </xf>
    <xf numFmtId="10" fontId="33" fillId="2" borderId="33" xfId="0" applyNumberFormat="1" applyFont="1" applyFill="1" applyBorder="1" applyAlignment="1">
      <alignment horizontal="center" vertical="center"/>
    </xf>
    <xf numFmtId="4" fontId="50" fillId="17" borderId="28" xfId="0" applyNumberFormat="1" applyFont="1" applyFill="1" applyBorder="1" applyAlignment="1">
      <alignment horizontal="center" vertical="center"/>
    </xf>
    <xf numFmtId="4" fontId="50" fillId="17" borderId="30" xfId="0" applyNumberFormat="1" applyFont="1" applyFill="1" applyBorder="1" applyAlignment="1">
      <alignment horizontal="center" vertical="center"/>
    </xf>
    <xf numFmtId="4" fontId="50" fillId="17" borderId="32" xfId="0" applyNumberFormat="1" applyFont="1" applyFill="1" applyBorder="1" applyAlignment="1">
      <alignment horizontal="center" vertical="center"/>
    </xf>
    <xf numFmtId="4" fontId="50" fillId="17" borderId="33" xfId="0" applyNumberFormat="1" applyFont="1" applyFill="1" applyBorder="1" applyAlignment="1">
      <alignment horizontal="center" vertical="center"/>
    </xf>
    <xf numFmtId="172" fontId="55" fillId="17" borderId="28" xfId="0" applyNumberFormat="1" applyFont="1" applyFill="1" applyBorder="1" applyAlignment="1">
      <alignment horizontal="center" vertical="center"/>
    </xf>
    <xf numFmtId="172" fontId="55" fillId="17" borderId="30" xfId="0" applyNumberFormat="1" applyFont="1" applyFill="1" applyBorder="1" applyAlignment="1">
      <alignment horizontal="center" vertical="center"/>
    </xf>
    <xf numFmtId="172" fontId="55" fillId="17" borderId="32" xfId="0" applyNumberFormat="1" applyFont="1" applyFill="1" applyBorder="1" applyAlignment="1">
      <alignment horizontal="center" vertical="center"/>
    </xf>
    <xf numFmtId="172" fontId="55" fillId="17" borderId="33" xfId="0" applyNumberFormat="1" applyFont="1" applyFill="1" applyBorder="1" applyAlignment="1">
      <alignment horizontal="center" vertical="center"/>
    </xf>
    <xf numFmtId="172" fontId="55" fillId="9" borderId="28" xfId="0" applyNumberFormat="1" applyFont="1" applyFill="1" applyBorder="1" applyAlignment="1">
      <alignment horizontal="center" vertical="center"/>
    </xf>
    <xf numFmtId="172" fontId="55" fillId="9" borderId="30" xfId="0" applyNumberFormat="1" applyFont="1" applyFill="1" applyBorder="1" applyAlignment="1">
      <alignment horizontal="center" vertical="center"/>
    </xf>
    <xf numFmtId="172" fontId="55" fillId="9" borderId="31" xfId="0" applyNumberFormat="1" applyFont="1" applyFill="1" applyBorder="1" applyAlignment="1">
      <alignment horizontal="center" vertical="center"/>
    </xf>
    <xf numFmtId="172" fontId="55" fillId="9" borderId="26" xfId="0" applyNumberFormat="1" applyFont="1" applyFill="1" applyBorder="1" applyAlignment="1">
      <alignment horizontal="center" vertical="center"/>
    </xf>
    <xf numFmtId="172" fontId="55" fillId="9" borderId="32" xfId="0" applyNumberFormat="1" applyFont="1" applyFill="1" applyBorder="1" applyAlignment="1">
      <alignment horizontal="center" vertical="center"/>
    </xf>
    <xf numFmtId="172" fontId="55" fillId="9" borderId="33" xfId="0" applyNumberFormat="1" applyFont="1" applyFill="1" applyBorder="1" applyAlignment="1">
      <alignment horizontal="center" vertical="center"/>
    </xf>
    <xf numFmtId="3" fontId="55" fillId="17" borderId="28" xfId="0" applyNumberFormat="1" applyFont="1" applyFill="1" applyBorder="1" applyAlignment="1">
      <alignment horizontal="center" vertical="center"/>
    </xf>
    <xf numFmtId="3" fontId="55" fillId="17" borderId="30" xfId="0" applyNumberFormat="1" applyFont="1" applyFill="1" applyBorder="1" applyAlignment="1">
      <alignment horizontal="center" vertical="center"/>
    </xf>
    <xf numFmtId="3" fontId="55" fillId="17" borderId="32" xfId="0" applyNumberFormat="1" applyFont="1" applyFill="1" applyBorder="1" applyAlignment="1">
      <alignment horizontal="center" vertical="center"/>
    </xf>
    <xf numFmtId="3" fontId="55" fillId="17" borderId="33" xfId="0" applyNumberFormat="1" applyFont="1" applyFill="1" applyBorder="1" applyAlignment="1">
      <alignment horizontal="center" vertical="center"/>
    </xf>
    <xf numFmtId="6" fontId="55" fillId="17" borderId="25" xfId="0" applyNumberFormat="1" applyFont="1" applyFill="1" applyBorder="1" applyAlignment="1">
      <alignment horizontal="center" vertical="center"/>
    </xf>
    <xf numFmtId="0" fontId="55" fillId="17" borderId="13" xfId="0" applyFont="1" applyFill="1" applyBorder="1" applyAlignment="1">
      <alignment horizontal="center" vertical="center"/>
    </xf>
    <xf numFmtId="6" fontId="55" fillId="17" borderId="28" xfId="0" applyNumberFormat="1" applyFont="1" applyFill="1" applyBorder="1" applyAlignment="1">
      <alignment horizontal="center" vertical="center"/>
    </xf>
    <xf numFmtId="6" fontId="55" fillId="17" borderId="30" xfId="0" applyNumberFormat="1" applyFont="1" applyFill="1" applyBorder="1" applyAlignment="1">
      <alignment horizontal="center" vertical="center"/>
    </xf>
    <xf numFmtId="6" fontId="55" fillId="17" borderId="32" xfId="0" applyNumberFormat="1" applyFont="1" applyFill="1" applyBorder="1" applyAlignment="1">
      <alignment horizontal="center" vertical="center"/>
    </xf>
    <xf numFmtId="6" fontId="55" fillId="17" borderId="33" xfId="0" applyNumberFormat="1" applyFont="1" applyFill="1" applyBorder="1" applyAlignment="1">
      <alignment horizontal="center" vertical="center"/>
    </xf>
    <xf numFmtId="4" fontId="52" fillId="27" borderId="28" xfId="0" applyNumberFormat="1" applyFont="1" applyFill="1" applyBorder="1" applyAlignment="1">
      <alignment horizontal="center" vertical="center"/>
    </xf>
    <xf numFmtId="4" fontId="52" fillId="27" borderId="30" xfId="0" applyNumberFormat="1" applyFont="1" applyFill="1" applyBorder="1" applyAlignment="1">
      <alignment horizontal="center" vertical="center"/>
    </xf>
    <xf numFmtId="4" fontId="52" fillId="27" borderId="32" xfId="0" applyNumberFormat="1" applyFont="1" applyFill="1" applyBorder="1" applyAlignment="1">
      <alignment horizontal="center" vertical="center"/>
    </xf>
    <xf numFmtId="4" fontId="52" fillId="27" borderId="33" xfId="0" applyNumberFormat="1" applyFont="1" applyFill="1" applyBorder="1" applyAlignment="1">
      <alignment horizontal="center" vertical="center"/>
    </xf>
    <xf numFmtId="172" fontId="33" fillId="9" borderId="28" xfId="0" applyNumberFormat="1" applyFont="1" applyFill="1" applyBorder="1" applyAlignment="1">
      <alignment horizontal="center" vertical="center"/>
    </xf>
    <xf numFmtId="172" fontId="33" fillId="9" borderId="30" xfId="0" applyNumberFormat="1" applyFont="1" applyFill="1" applyBorder="1" applyAlignment="1">
      <alignment horizontal="center" vertical="center"/>
    </xf>
    <xf numFmtId="172" fontId="33" fillId="9" borderId="32" xfId="0" applyNumberFormat="1" applyFont="1" applyFill="1" applyBorder="1" applyAlignment="1">
      <alignment horizontal="center" vertical="center"/>
    </xf>
    <xf numFmtId="172" fontId="33" fillId="9" borderId="33" xfId="0" applyNumberFormat="1" applyFont="1" applyFill="1" applyBorder="1" applyAlignment="1">
      <alignment horizontal="center" vertical="center"/>
    </xf>
    <xf numFmtId="9" fontId="33" fillId="2" borderId="28" xfId="0" applyNumberFormat="1" applyFont="1" applyFill="1" applyBorder="1" applyAlignment="1">
      <alignment horizontal="center" vertical="center"/>
    </xf>
    <xf numFmtId="9" fontId="33" fillId="2" borderId="30" xfId="0" applyNumberFormat="1" applyFont="1" applyFill="1" applyBorder="1" applyAlignment="1">
      <alignment horizontal="center" vertical="center"/>
    </xf>
    <xf numFmtId="9" fontId="33" fillId="2" borderId="31" xfId="0" applyNumberFormat="1" applyFont="1" applyFill="1" applyBorder="1" applyAlignment="1">
      <alignment horizontal="center" vertical="center"/>
    </xf>
    <xf numFmtId="9" fontId="33" fillId="2" borderId="26" xfId="0" applyNumberFormat="1" applyFont="1" applyFill="1" applyBorder="1" applyAlignment="1">
      <alignment horizontal="center" vertical="center"/>
    </xf>
    <xf numFmtId="9" fontId="33" fillId="2" borderId="32" xfId="0" applyNumberFormat="1" applyFont="1" applyFill="1" applyBorder="1" applyAlignment="1">
      <alignment horizontal="center" vertical="center"/>
    </xf>
    <xf numFmtId="9" fontId="33" fillId="2" borderId="33" xfId="0" applyNumberFormat="1" applyFont="1" applyFill="1" applyBorder="1" applyAlignment="1">
      <alignment horizontal="center" vertical="center"/>
    </xf>
    <xf numFmtId="6" fontId="34" fillId="17" borderId="28" xfId="0" applyNumberFormat="1" applyFont="1" applyFill="1" applyBorder="1" applyAlignment="1">
      <alignment horizontal="center" vertical="center"/>
    </xf>
    <xf numFmtId="6" fontId="34" fillId="17" borderId="30" xfId="0" applyNumberFormat="1" applyFont="1" applyFill="1" applyBorder="1" applyAlignment="1">
      <alignment horizontal="center" vertical="center"/>
    </xf>
    <xf numFmtId="6" fontId="34" fillId="17" borderId="32" xfId="0" applyNumberFormat="1" applyFont="1" applyFill="1" applyBorder="1" applyAlignment="1">
      <alignment horizontal="center" vertical="center"/>
    </xf>
    <xf numFmtId="6" fontId="34" fillId="17" borderId="33" xfId="0" applyNumberFormat="1" applyFont="1" applyFill="1" applyBorder="1" applyAlignment="1">
      <alignment horizontal="center" vertical="center"/>
    </xf>
    <xf numFmtId="172" fontId="44" fillId="17" borderId="0" xfId="0" applyNumberFormat="1" applyFont="1" applyFill="1" applyBorder="1" applyAlignment="1">
      <alignment horizontal="center" vertical="center"/>
    </xf>
    <xf numFmtId="3" fontId="34" fillId="17" borderId="28" xfId="0" applyNumberFormat="1" applyFont="1" applyFill="1" applyBorder="1" applyAlignment="1">
      <alignment horizontal="center" vertical="center"/>
    </xf>
    <xf numFmtId="3" fontId="34" fillId="17" borderId="30" xfId="0" applyNumberFormat="1" applyFont="1" applyFill="1" applyBorder="1" applyAlignment="1">
      <alignment horizontal="center" vertical="center"/>
    </xf>
    <xf numFmtId="3" fontId="34" fillId="17" borderId="32" xfId="0" applyNumberFormat="1" applyFont="1" applyFill="1" applyBorder="1" applyAlignment="1">
      <alignment horizontal="center" vertical="center"/>
    </xf>
    <xf numFmtId="3" fontId="34" fillId="17" borderId="33" xfId="0" applyNumberFormat="1" applyFont="1" applyFill="1" applyBorder="1" applyAlignment="1">
      <alignment horizontal="center" vertical="center"/>
    </xf>
    <xf numFmtId="6" fontId="34" fillId="17" borderId="25" xfId="0" applyNumberFormat="1" applyFont="1" applyFill="1" applyBorder="1" applyAlignment="1">
      <alignment horizontal="center" vertical="center"/>
    </xf>
    <xf numFmtId="0" fontId="34" fillId="17" borderId="13" xfId="0" applyFont="1" applyFill="1" applyBorder="1" applyAlignment="1">
      <alignment horizontal="center" vertical="center"/>
    </xf>
    <xf numFmtId="6" fontId="46" fillId="28" borderId="28" xfId="0" applyNumberFormat="1" applyFont="1" applyFill="1" applyBorder="1" applyAlignment="1">
      <alignment horizontal="center" vertical="center"/>
    </xf>
    <xf numFmtId="6" fontId="46" fillId="28" borderId="30" xfId="0" applyNumberFormat="1" applyFont="1" applyFill="1" applyBorder="1" applyAlignment="1">
      <alignment horizontal="center" vertical="center"/>
    </xf>
    <xf numFmtId="6" fontId="46" fillId="28" borderId="32" xfId="0" applyNumberFormat="1" applyFont="1" applyFill="1" applyBorder="1" applyAlignment="1">
      <alignment horizontal="center" vertical="center"/>
    </xf>
    <xf numFmtId="6" fontId="46" fillId="28" borderId="33" xfId="0" applyNumberFormat="1" applyFont="1" applyFill="1" applyBorder="1" applyAlignment="1">
      <alignment horizontal="center" vertical="center"/>
    </xf>
    <xf numFmtId="172" fontId="33" fillId="9" borderId="31" xfId="0" applyNumberFormat="1" applyFont="1" applyFill="1" applyBorder="1" applyAlignment="1">
      <alignment horizontal="center" vertical="center"/>
    </xf>
    <xf numFmtId="172" fontId="33" fillId="9" borderId="26" xfId="0" applyNumberFormat="1" applyFont="1" applyFill="1" applyBorder="1" applyAlignment="1">
      <alignment horizontal="center" vertical="center"/>
    </xf>
    <xf numFmtId="4" fontId="33" fillId="17" borderId="28" xfId="0" applyNumberFormat="1" applyFont="1" applyFill="1" applyBorder="1" applyAlignment="1">
      <alignment horizontal="center" vertical="center"/>
    </xf>
    <xf numFmtId="4" fontId="33" fillId="17" borderId="30" xfId="0" applyNumberFormat="1" applyFont="1" applyFill="1" applyBorder="1" applyAlignment="1">
      <alignment horizontal="center" vertical="center"/>
    </xf>
    <xf numFmtId="4" fontId="33" fillId="17" borderId="32" xfId="0" applyNumberFormat="1" applyFont="1" applyFill="1" applyBorder="1" applyAlignment="1">
      <alignment horizontal="center" vertical="center"/>
    </xf>
    <xf numFmtId="4" fontId="33" fillId="17" borderId="33" xfId="0" applyNumberFormat="1" applyFont="1" applyFill="1" applyBorder="1" applyAlignment="1">
      <alignment horizontal="center" vertical="center"/>
    </xf>
    <xf numFmtId="172" fontId="33" fillId="17" borderId="28" xfId="0" applyNumberFormat="1" applyFont="1" applyFill="1" applyBorder="1" applyAlignment="1">
      <alignment horizontal="center" vertical="center"/>
    </xf>
    <xf numFmtId="172" fontId="33" fillId="17" borderId="30" xfId="0" applyNumberFormat="1" applyFont="1" applyFill="1" applyBorder="1" applyAlignment="1">
      <alignment horizontal="center" vertical="center"/>
    </xf>
    <xf numFmtId="172" fontId="33" fillId="17" borderId="32" xfId="0" applyNumberFormat="1" applyFont="1" applyFill="1" applyBorder="1" applyAlignment="1">
      <alignment horizontal="center" vertical="center"/>
    </xf>
    <xf numFmtId="172" fontId="33" fillId="17" borderId="33" xfId="0" applyNumberFormat="1" applyFont="1" applyFill="1" applyBorder="1" applyAlignment="1">
      <alignment horizontal="center" vertical="center"/>
    </xf>
    <xf numFmtId="3" fontId="33" fillId="27" borderId="28" xfId="0" applyNumberFormat="1" applyFont="1" applyFill="1" applyBorder="1" applyAlignment="1">
      <alignment horizontal="center" vertical="center"/>
    </xf>
    <xf numFmtId="3" fontId="33" fillId="27" borderId="30" xfId="0" applyNumberFormat="1" applyFont="1" applyFill="1" applyBorder="1" applyAlignment="1">
      <alignment horizontal="center" vertical="center"/>
    </xf>
    <xf numFmtId="3" fontId="33" fillId="27" borderId="32" xfId="0" applyNumberFormat="1" applyFont="1" applyFill="1" applyBorder="1" applyAlignment="1">
      <alignment horizontal="center" vertical="center"/>
    </xf>
    <xf numFmtId="3" fontId="33" fillId="27" borderId="33" xfId="0" applyNumberFormat="1" applyFont="1" applyFill="1" applyBorder="1" applyAlignment="1">
      <alignment horizontal="center" vertical="center"/>
    </xf>
    <xf numFmtId="40" fontId="34" fillId="17" borderId="28" xfId="0" applyNumberFormat="1" applyFont="1" applyFill="1" applyBorder="1" applyAlignment="1">
      <alignment horizontal="center" vertical="center"/>
    </xf>
    <xf numFmtId="40" fontId="34" fillId="17" borderId="30" xfId="0" applyNumberFormat="1" applyFont="1" applyFill="1" applyBorder="1" applyAlignment="1">
      <alignment horizontal="center" vertical="center"/>
    </xf>
    <xf numFmtId="40" fontId="34" fillId="17" borderId="32" xfId="0" applyNumberFormat="1" applyFont="1" applyFill="1" applyBorder="1" applyAlignment="1">
      <alignment horizontal="center" vertical="center"/>
    </xf>
    <xf numFmtId="40" fontId="34" fillId="17" borderId="33" xfId="0" applyNumberFormat="1" applyFont="1" applyFill="1" applyBorder="1" applyAlignment="1">
      <alignment horizontal="center" vertical="center"/>
    </xf>
    <xf numFmtId="38" fontId="34" fillId="17" borderId="28" xfId="0" applyNumberFormat="1" applyFont="1" applyFill="1" applyBorder="1" applyAlignment="1">
      <alignment horizontal="center" vertical="center"/>
    </xf>
    <xf numFmtId="38" fontId="34" fillId="17" borderId="30" xfId="0" applyNumberFormat="1" applyFont="1" applyFill="1" applyBorder="1" applyAlignment="1">
      <alignment horizontal="center" vertical="center"/>
    </xf>
    <xf numFmtId="38" fontId="34" fillId="17" borderId="32" xfId="0" applyNumberFormat="1" applyFont="1" applyFill="1" applyBorder="1" applyAlignment="1">
      <alignment horizontal="center" vertical="center"/>
    </xf>
    <xf numFmtId="38" fontId="34" fillId="17" borderId="33" xfId="0" applyNumberFormat="1" applyFont="1" applyFill="1" applyBorder="1" applyAlignment="1">
      <alignment horizontal="center" vertical="center"/>
    </xf>
    <xf numFmtId="6" fontId="34" fillId="17" borderId="31" xfId="0" applyNumberFormat="1" applyFont="1" applyFill="1" applyBorder="1" applyAlignment="1">
      <alignment horizontal="center" vertical="center"/>
    </xf>
    <xf numFmtId="6" fontId="34" fillId="17" borderId="26" xfId="0" applyNumberFormat="1" applyFont="1" applyFill="1" applyBorder="1" applyAlignment="1">
      <alignment horizontal="center" vertical="center"/>
    </xf>
    <xf numFmtId="6" fontId="34" fillId="17" borderId="27" xfId="0" applyNumberFormat="1" applyFont="1" applyFill="1" applyBorder="1" applyAlignment="1">
      <alignment horizontal="center" vertical="center"/>
    </xf>
    <xf numFmtId="6" fontId="34" fillId="17" borderId="13" xfId="0" applyNumberFormat="1" applyFont="1" applyFill="1" applyBorder="1" applyAlignment="1">
      <alignment horizontal="center" vertical="center"/>
    </xf>
    <xf numFmtId="3" fontId="34" fillId="17" borderId="31" xfId="0" applyNumberFormat="1" applyFont="1" applyFill="1" applyBorder="1" applyAlignment="1">
      <alignment horizontal="center" vertical="center"/>
    </xf>
    <xf numFmtId="3" fontId="34" fillId="17" borderId="26" xfId="0" applyNumberFormat="1" applyFont="1" applyFill="1" applyBorder="1" applyAlignment="1">
      <alignment horizontal="center" vertical="center"/>
    </xf>
    <xf numFmtId="3" fontId="33" fillId="17" borderId="28" xfId="0" applyNumberFormat="1" applyFont="1" applyFill="1" applyBorder="1" applyAlignment="1">
      <alignment horizontal="center" vertical="center"/>
    </xf>
    <xf numFmtId="3" fontId="33" fillId="17" borderId="30" xfId="0" applyNumberFormat="1" applyFont="1" applyFill="1" applyBorder="1" applyAlignment="1">
      <alignment horizontal="center" vertical="center"/>
    </xf>
    <xf numFmtId="3" fontId="33" fillId="17" borderId="31" xfId="0" applyNumberFormat="1" applyFont="1" applyFill="1" applyBorder="1" applyAlignment="1">
      <alignment horizontal="center" vertical="center"/>
    </xf>
    <xf numFmtId="3" fontId="33" fillId="17" borderId="26" xfId="0" applyNumberFormat="1" applyFont="1" applyFill="1" applyBorder="1" applyAlignment="1">
      <alignment horizontal="center" vertical="center"/>
    </xf>
    <xf numFmtId="3" fontId="33" fillId="17" borderId="32" xfId="0" applyNumberFormat="1" applyFont="1" applyFill="1" applyBorder="1" applyAlignment="1">
      <alignment horizontal="center" vertical="center"/>
    </xf>
    <xf numFmtId="3" fontId="33" fillId="17" borderId="33" xfId="0" applyNumberFormat="1" applyFont="1" applyFill="1" applyBorder="1" applyAlignment="1">
      <alignment horizontal="center" vertical="center"/>
    </xf>
    <xf numFmtId="3" fontId="33" fillId="9" borderId="28" xfId="0" applyNumberFormat="1" applyFont="1" applyFill="1" applyBorder="1" applyAlignment="1">
      <alignment horizontal="center" vertical="center"/>
    </xf>
    <xf numFmtId="3" fontId="33" fillId="9" borderId="30" xfId="0" applyNumberFormat="1" applyFont="1" applyFill="1" applyBorder="1" applyAlignment="1">
      <alignment horizontal="center" vertical="center"/>
    </xf>
    <xf numFmtId="3" fontId="33" fillId="9" borderId="31" xfId="0" applyNumberFormat="1" applyFont="1" applyFill="1" applyBorder="1" applyAlignment="1">
      <alignment horizontal="center" vertical="center"/>
    </xf>
    <xf numFmtId="3" fontId="33" fillId="9" borderId="26" xfId="0" applyNumberFormat="1" applyFont="1" applyFill="1" applyBorder="1" applyAlignment="1">
      <alignment horizontal="center" vertical="center"/>
    </xf>
    <xf numFmtId="3" fontId="33" fillId="9" borderId="32" xfId="0" applyNumberFormat="1" applyFont="1" applyFill="1" applyBorder="1" applyAlignment="1">
      <alignment horizontal="center" vertical="center"/>
    </xf>
    <xf numFmtId="3" fontId="33" fillId="9" borderId="33" xfId="0" applyNumberFormat="1" applyFont="1" applyFill="1" applyBorder="1" applyAlignment="1">
      <alignment horizontal="center" vertical="center"/>
    </xf>
    <xf numFmtId="0" fontId="32" fillId="4" borderId="37" xfId="0" applyFont="1" applyFill="1" applyBorder="1" applyAlignment="1">
      <alignment horizontal="right" vertical="center"/>
    </xf>
    <xf numFmtId="0" fontId="32" fillId="4" borderId="41" xfId="0" applyFont="1" applyFill="1" applyBorder="1" applyAlignment="1">
      <alignment horizontal="right" vertical="center"/>
    </xf>
    <xf numFmtId="0" fontId="32" fillId="4" borderId="38" xfId="0" applyFont="1" applyFill="1" applyBorder="1" applyAlignment="1">
      <alignment horizontal="right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/>
    </xf>
    <xf numFmtId="0" fontId="15" fillId="9" borderId="37" xfId="0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164" fontId="15" fillId="9" borderId="41" xfId="0" applyNumberFormat="1" applyFont="1" applyFill="1" applyBorder="1" applyAlignment="1">
      <alignment horizontal="center" vertical="center"/>
    </xf>
    <xf numFmtId="164" fontId="15" fillId="9" borderId="38" xfId="0" applyNumberFormat="1" applyFont="1" applyFill="1" applyBorder="1" applyAlignment="1">
      <alignment horizontal="center" vertical="center"/>
    </xf>
    <xf numFmtId="164" fontId="15" fillId="9" borderId="21" xfId="0" applyNumberFormat="1" applyFont="1" applyFill="1" applyBorder="1" applyAlignment="1">
      <alignment horizontal="center" vertical="center"/>
    </xf>
    <xf numFmtId="164" fontId="15" fillId="9" borderId="6" xfId="0" applyNumberFormat="1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5" fillId="9" borderId="18" xfId="0" applyFont="1" applyFill="1" applyBorder="1" applyAlignment="1">
      <alignment horizontal="center" vertical="center"/>
    </xf>
    <xf numFmtId="164" fontId="15" fillId="9" borderId="18" xfId="0" applyNumberFormat="1" applyFont="1" applyFill="1" applyBorder="1" applyAlignment="1">
      <alignment horizontal="center"/>
    </xf>
    <xf numFmtId="164" fontId="15" fillId="9" borderId="8" xfId="0" applyNumberFormat="1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20" xfId="0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164" fontId="15" fillId="3" borderId="18" xfId="0" applyNumberFormat="1" applyFont="1" applyFill="1" applyBorder="1" applyAlignment="1">
      <alignment horizontal="center" vertical="center"/>
    </xf>
    <xf numFmtId="164" fontId="15" fillId="3" borderId="8" xfId="0" applyNumberFormat="1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11" fillId="11" borderId="22" xfId="0" applyFont="1" applyFill="1" applyBorder="1" applyAlignment="1">
      <alignment horizontal="center" vertical="center"/>
    </xf>
    <xf numFmtId="0" fontId="11" fillId="11" borderId="23" xfId="0" applyFont="1" applyFill="1" applyBorder="1" applyAlignment="1">
      <alignment horizontal="center" vertical="center"/>
    </xf>
    <xf numFmtId="0" fontId="11" fillId="11" borderId="24" xfId="0" applyFont="1" applyFill="1" applyBorder="1" applyAlignment="1">
      <alignment horizontal="center" vertical="center"/>
    </xf>
    <xf numFmtId="0" fontId="18" fillId="6" borderId="22" xfId="0" applyFont="1" applyFill="1" applyBorder="1" applyAlignment="1">
      <alignment horizontal="center" vertical="center"/>
    </xf>
    <xf numFmtId="0" fontId="18" fillId="6" borderId="23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5" fillId="0" borderId="36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3" borderId="36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165" fontId="2" fillId="3" borderId="11" xfId="3" applyNumberFormat="1" applyFont="1" applyFill="1" applyBorder="1" applyAlignment="1">
      <alignment horizontal="center"/>
    </xf>
    <xf numFmtId="1" fontId="2" fillId="3" borderId="11" xfId="2" applyNumberFormat="1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170" fontId="6" fillId="8" borderId="11" xfId="0" applyNumberFormat="1" applyFont="1" applyFill="1" applyBorder="1" applyAlignment="1">
      <alignment horizontal="center" vertical="center"/>
    </xf>
    <xf numFmtId="170" fontId="6" fillId="10" borderId="22" xfId="0" applyNumberFormat="1" applyFont="1" applyFill="1" applyBorder="1" applyAlignment="1">
      <alignment horizontal="center" vertical="center"/>
    </xf>
    <xf numFmtId="170" fontId="6" fillId="10" borderId="23" xfId="0" applyNumberFormat="1" applyFont="1" applyFill="1" applyBorder="1" applyAlignment="1">
      <alignment horizontal="center" vertical="center"/>
    </xf>
    <xf numFmtId="170" fontId="6" fillId="10" borderId="24" xfId="0" applyNumberFormat="1" applyFont="1" applyFill="1" applyBorder="1" applyAlignment="1">
      <alignment horizontal="center" vertical="center"/>
    </xf>
    <xf numFmtId="0" fontId="6" fillId="14" borderId="16" xfId="0" applyFont="1" applyFill="1" applyBorder="1" applyAlignment="1">
      <alignment horizontal="center" vertical="center"/>
    </xf>
    <xf numFmtId="0" fontId="6" fillId="14" borderId="17" xfId="0" applyFont="1" applyFill="1" applyBorder="1" applyAlignment="1">
      <alignment horizontal="center" vertical="center"/>
    </xf>
    <xf numFmtId="172" fontId="53" fillId="16" borderId="28" xfId="0" applyNumberFormat="1" applyFont="1" applyFill="1" applyBorder="1" applyAlignment="1">
      <alignment horizontal="center" vertical="center"/>
    </xf>
    <xf numFmtId="172" fontId="53" fillId="16" borderId="30" xfId="0" applyNumberFormat="1" applyFont="1" applyFill="1" applyBorder="1" applyAlignment="1">
      <alignment horizontal="center" vertical="center"/>
    </xf>
    <xf numFmtId="172" fontId="53" fillId="16" borderId="31" xfId="0" applyNumberFormat="1" applyFont="1" applyFill="1" applyBorder="1" applyAlignment="1">
      <alignment horizontal="center" vertical="center"/>
    </xf>
    <xf numFmtId="172" fontId="53" fillId="16" borderId="26" xfId="0" applyNumberFormat="1" applyFont="1" applyFill="1" applyBorder="1" applyAlignment="1">
      <alignment horizontal="center" vertical="center"/>
    </xf>
    <xf numFmtId="172" fontId="53" fillId="16" borderId="32" xfId="0" applyNumberFormat="1" applyFont="1" applyFill="1" applyBorder="1" applyAlignment="1">
      <alignment horizontal="center" vertical="center"/>
    </xf>
    <xf numFmtId="172" fontId="53" fillId="16" borderId="33" xfId="0" applyNumberFormat="1" applyFont="1" applyFill="1" applyBorder="1" applyAlignment="1">
      <alignment horizontal="center" vertical="center"/>
    </xf>
    <xf numFmtId="6" fontId="59" fillId="17" borderId="28" xfId="0" applyNumberFormat="1" applyFont="1" applyFill="1" applyBorder="1" applyAlignment="1">
      <alignment horizontal="center" vertical="center"/>
    </xf>
    <xf numFmtId="6" fontId="59" fillId="17" borderId="30" xfId="0" applyNumberFormat="1" applyFont="1" applyFill="1" applyBorder="1" applyAlignment="1">
      <alignment horizontal="center" vertical="center"/>
    </xf>
    <xf numFmtId="6" fontId="59" fillId="17" borderId="32" xfId="0" applyNumberFormat="1" applyFont="1" applyFill="1" applyBorder="1" applyAlignment="1">
      <alignment horizontal="center" vertical="center"/>
    </xf>
    <xf numFmtId="6" fontId="59" fillId="17" borderId="33" xfId="0" applyNumberFormat="1" applyFont="1" applyFill="1" applyBorder="1" applyAlignment="1">
      <alignment horizontal="center" vertical="center"/>
    </xf>
    <xf numFmtId="172" fontId="58" fillId="3" borderId="28" xfId="0" applyNumberFormat="1" applyFont="1" applyFill="1" applyBorder="1" applyAlignment="1">
      <alignment horizontal="center" vertical="center"/>
    </xf>
    <xf numFmtId="172" fontId="58" fillId="3" borderId="30" xfId="0" applyNumberFormat="1" applyFont="1" applyFill="1" applyBorder="1" applyAlignment="1">
      <alignment horizontal="center" vertical="center"/>
    </xf>
    <xf numFmtId="172" fontId="58" fillId="3" borderId="31" xfId="0" applyNumberFormat="1" applyFont="1" applyFill="1" applyBorder="1" applyAlignment="1">
      <alignment horizontal="center" vertical="center"/>
    </xf>
    <xf numFmtId="172" fontId="58" fillId="3" borderId="26" xfId="0" applyNumberFormat="1" applyFont="1" applyFill="1" applyBorder="1" applyAlignment="1">
      <alignment horizontal="center" vertical="center"/>
    </xf>
    <xf numFmtId="172" fontId="58" fillId="3" borderId="32" xfId="0" applyNumberFormat="1" applyFont="1" applyFill="1" applyBorder="1" applyAlignment="1">
      <alignment horizontal="center" vertical="center"/>
    </xf>
    <xf numFmtId="172" fontId="58" fillId="3" borderId="33" xfId="0" applyNumberFormat="1" applyFont="1" applyFill="1" applyBorder="1" applyAlignment="1">
      <alignment horizontal="center" vertical="center"/>
    </xf>
  </cellXfs>
  <cellStyles count="18">
    <cellStyle name="40% - Accent3" xfId="17" builtinId="39"/>
    <cellStyle name="Accent1" xfId="14" builtinId="29"/>
    <cellStyle name="Accent2" xfId="15" builtinId="33"/>
    <cellStyle name="Accent3" xfId="16" builtinId="37"/>
    <cellStyle name="ColLevel_1" xfId="1" builtinId="2" iLevel="0"/>
    <cellStyle name="Comma" xfId="2" builtinId="3"/>
    <cellStyle name="Comma [0]" xfId="6" builtinId="6"/>
    <cellStyle name="Currency" xfId="3" builtinId="4"/>
    <cellStyle name="Currency [0]" xfId="7" builtinId="7"/>
    <cellStyle name="Heading 1" xfId="9" builtinId="16"/>
    <cellStyle name="Heading 2" xfId="10" builtinId="17"/>
    <cellStyle name="Heading 3" xfId="11" builtinId="18"/>
    <cellStyle name="Hyperlink" xfId="5" builtinId="8"/>
    <cellStyle name="Input" xfId="12" builtinId="20"/>
    <cellStyle name="Normal" xfId="0" builtinId="0"/>
    <cellStyle name="Percent" xfId="4" builtinId="5"/>
    <cellStyle name="Title" xfId="8" builtinId="15"/>
    <cellStyle name="Total" xfId="13" builtinId="25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Revenue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Proforma!$H$4:$L$4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Proforma!$H$12:$L$12</c:f>
              <c:numCache>
                <c:formatCode>_("$"* #,##0_);_("$"* \(#,##0\);_("$"* "-"??_);_(@_)</c:formatCode>
                <c:ptCount val="5"/>
                <c:pt idx="0">
                  <c:v>6713699.9999999991</c:v>
                </c:pt>
                <c:pt idx="1">
                  <c:v>34550599.999999993</c:v>
                </c:pt>
                <c:pt idx="2">
                  <c:v>90192199.999999985</c:v>
                </c:pt>
                <c:pt idx="3">
                  <c:v>173654599.99999997</c:v>
                </c:pt>
                <c:pt idx="4">
                  <c:v>284937799.99999994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1-47A5-90E6-DCD4C84FD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9355295"/>
        <c:axId val="1749359039"/>
      </c:lineChart>
      <c:catAx>
        <c:axId val="174935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59039"/>
        <c:crosses val="autoZero"/>
        <c:auto val="1"/>
        <c:lblAlgn val="ctr"/>
        <c:lblOffset val="100"/>
        <c:noMultiLvlLbl val="0"/>
      </c:catAx>
      <c:valAx>
        <c:axId val="174935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55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Upfront</a:t>
            </a:r>
            <a:r>
              <a:rPr lang="en-US" baseline="0"/>
              <a:t> </a:t>
            </a:r>
            <a:r>
              <a:rPr lang="en-US"/>
              <a:t>Licensed Software</a:t>
            </a:r>
            <a:r>
              <a:rPr lang="en-US" baseline="0"/>
              <a:t> - Cash Flow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'[1]Licensed software'!$A$3</c:f>
              <c:strCache>
                <c:ptCount val="1"/>
                <c:pt idx="0">
                  <c:v>Cost to Acquire (CAC)</c:v>
                </c:pt>
              </c:strCache>
            </c:strRef>
          </c:tx>
          <c:invertIfNegative val="0"/>
          <c:cat>
            <c:strRef>
              <c:f>'[1]Licensed software'!$B$2:$C$2</c:f>
              <c:strCache>
                <c:ptCount val="2"/>
                <c:pt idx="0">
                  <c:v>Month 1</c:v>
                </c:pt>
                <c:pt idx="1">
                  <c:v>Month 2</c:v>
                </c:pt>
              </c:strCache>
            </c:strRef>
          </c:cat>
          <c:val>
            <c:numRef>
              <c:f>'[1]Licensed software'!$B$3</c:f>
              <c:numCache>
                <c:formatCode>General</c:formatCode>
                <c:ptCount val="1"/>
                <c:pt idx="0">
                  <c:v>-6000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B-41BC-9BF6-1DE7DD2E22D9}"/>
            </c:ext>
          </c:extLst>
        </c:ser>
        <c:ser>
          <c:idx val="1"/>
          <c:order val="1"/>
          <c:tx>
            <c:strRef>
              <c:f>'[1]Licensed software'!$A$4</c:f>
              <c:strCache>
                <c:ptCount val="1"/>
                <c:pt idx="0">
                  <c:v>License Revenue</c:v>
                </c:pt>
              </c:strCache>
            </c:strRef>
          </c:tx>
          <c:invertIfNegative val="0"/>
          <c:cat>
            <c:strRef>
              <c:f>'[1]Licensed software'!$B$2:$C$2</c:f>
              <c:strCache>
                <c:ptCount val="2"/>
                <c:pt idx="0">
                  <c:v>Month 1</c:v>
                </c:pt>
                <c:pt idx="1">
                  <c:v>Month 2</c:v>
                </c:pt>
              </c:strCache>
            </c:strRef>
          </c:cat>
          <c:val>
            <c:numRef>
              <c:f>'[1]Licensed software'!$B$4:$C$4</c:f>
              <c:numCache>
                <c:formatCode>General</c:formatCode>
                <c:ptCount val="2"/>
                <c:pt idx="1">
                  <c:v>18000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DB-41BC-9BF6-1DE7DD2E2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-1180937840"/>
        <c:axId val="-1176745264"/>
      </c:barChart>
      <c:catAx>
        <c:axId val="-118093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1176745264"/>
        <c:crosses val="autoZero"/>
        <c:auto val="1"/>
        <c:lblAlgn val="ctr"/>
        <c:lblOffset val="100"/>
        <c:noMultiLvlLbl val="0"/>
      </c:catAx>
      <c:valAx>
        <c:axId val="-11767452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1180937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Single Customer</a:t>
            </a:r>
            <a:r>
              <a:rPr lang="en-US" baseline="0"/>
              <a:t> - </a:t>
            </a:r>
            <a:r>
              <a:rPr lang="en-US"/>
              <a:t>Cumulative Cash Flow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'[1]Simple SaaS analysis'!$A$29</c:f>
              <c:strCache>
                <c:ptCount val="1"/>
                <c:pt idx="0">
                  <c:v>Cumulative Cash Flow</c:v>
                </c:pt>
              </c:strCache>
            </c:strRef>
          </c:tx>
          <c:invertIfNegative val="0"/>
          <c:cat>
            <c:strRef>
              <c:f>'[1]Simple SaaS analysis'!$B$25:$S$25</c:f>
              <c:strCache>
                <c:ptCount val="18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</c:strCache>
            </c:strRef>
          </c:cat>
          <c:val>
            <c:numRef>
              <c:f>'[1]Simple SaaS analysis'!$B$29:$S$29</c:f>
              <c:numCache>
                <c:formatCode>General</c:formatCode>
                <c:ptCount val="18"/>
                <c:pt idx="0">
                  <c:v>-6000</c:v>
                </c:pt>
                <c:pt idx="1">
                  <c:v>-5520</c:v>
                </c:pt>
                <c:pt idx="2">
                  <c:v>-5040</c:v>
                </c:pt>
                <c:pt idx="3">
                  <c:v>-4560</c:v>
                </c:pt>
                <c:pt idx="4">
                  <c:v>-4080</c:v>
                </c:pt>
                <c:pt idx="5">
                  <c:v>-3600</c:v>
                </c:pt>
                <c:pt idx="6">
                  <c:v>-3120</c:v>
                </c:pt>
                <c:pt idx="7">
                  <c:v>-2640</c:v>
                </c:pt>
                <c:pt idx="8">
                  <c:v>-2160</c:v>
                </c:pt>
                <c:pt idx="9">
                  <c:v>-1680</c:v>
                </c:pt>
                <c:pt idx="10">
                  <c:v>-1200</c:v>
                </c:pt>
                <c:pt idx="11">
                  <c:v>-720</c:v>
                </c:pt>
                <c:pt idx="12">
                  <c:v>-240</c:v>
                </c:pt>
                <c:pt idx="13">
                  <c:v>240</c:v>
                </c:pt>
                <c:pt idx="14">
                  <c:v>720</c:v>
                </c:pt>
                <c:pt idx="15">
                  <c:v>1200</c:v>
                </c:pt>
                <c:pt idx="16">
                  <c:v>1680</c:v>
                </c:pt>
                <c:pt idx="17">
                  <c:v>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D-443C-8E03-64A3915B8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04575152"/>
        <c:axId val="-1268429904"/>
      </c:barChart>
      <c:catAx>
        <c:axId val="-1204575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268429904"/>
        <c:crosses val="autoZero"/>
        <c:auto val="1"/>
        <c:lblAlgn val="ctr"/>
        <c:lblOffset val="100"/>
        <c:noMultiLvlLbl val="0"/>
      </c:catAx>
      <c:valAx>
        <c:axId val="-126842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2045751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MRR Bookings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Contracts'!$B$16:$C$16</c:f>
              <c:strCache>
                <c:ptCount val="1"/>
                <c:pt idx="0">
                  <c:v>New MRR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Contracts'!$D$15:$I$15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Contracts'!$D$16:$I$16</c:f>
              <c:numCache>
                <c:formatCode>General</c:formatCode>
                <c:ptCount val="6"/>
                <c:pt idx="0">
                  <c:v>22</c:v>
                </c:pt>
                <c:pt idx="1">
                  <c:v>23</c:v>
                </c:pt>
                <c:pt idx="2">
                  <c:v>24.5</c:v>
                </c:pt>
                <c:pt idx="3">
                  <c:v>26</c:v>
                </c:pt>
                <c:pt idx="4">
                  <c:v>27</c:v>
                </c:pt>
                <c:pt idx="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6-481C-A6B7-67B82A309632}"/>
            </c:ext>
          </c:extLst>
        </c:ser>
        <c:ser>
          <c:idx val="1"/>
          <c:order val="1"/>
          <c:tx>
            <c:strRef>
              <c:f>'[2]Primarily Monthly Contracts'!$B$17:$C$17</c:f>
              <c:strCache>
                <c:ptCount val="1"/>
                <c:pt idx="0">
                  <c:v>Churned MRR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Contracts'!$D$15:$I$15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Contracts'!$D$17:$I$17</c:f>
              <c:numCache>
                <c:formatCode>General</c:formatCode>
                <c:ptCount val="6"/>
                <c:pt idx="0">
                  <c:v>-8.4</c:v>
                </c:pt>
                <c:pt idx="1">
                  <c:v>-11.2212</c:v>
                </c:pt>
                <c:pt idx="2">
                  <c:v>-9.0273204000000007</c:v>
                </c:pt>
                <c:pt idx="3">
                  <c:v>-8.949888832000001</c:v>
                </c:pt>
                <c:pt idx="4">
                  <c:v>-8.8518536857632011</c:v>
                </c:pt>
                <c:pt idx="5">
                  <c:v>-8.838422783071719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6-481C-A6B7-67B82A309632}"/>
            </c:ext>
          </c:extLst>
        </c:ser>
        <c:ser>
          <c:idx val="2"/>
          <c:order val="2"/>
          <c:tx>
            <c:strRef>
              <c:f>'[2]Primarily Monthly Contracts'!$B$18:$C$18</c:f>
              <c:strCache>
                <c:ptCount val="1"/>
                <c:pt idx="0">
                  <c:v>Expansion MRR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Contracts'!$D$15:$I$15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Contracts'!$D$18:$I$18</c:f>
              <c:numCache>
                <c:formatCode>General</c:formatCode>
                <c:ptCount val="6"/>
                <c:pt idx="0">
                  <c:v>2</c:v>
                </c:pt>
                <c:pt idx="1">
                  <c:v>2.4936000000000003</c:v>
                </c:pt>
                <c:pt idx="2">
                  <c:v>2.149362</c:v>
                </c:pt>
                <c:pt idx="3">
                  <c:v>1.3424833248000001</c:v>
                </c:pt>
                <c:pt idx="4">
                  <c:v>6.9883055413920001</c:v>
                </c:pt>
                <c:pt idx="5">
                  <c:v>3.437164415639002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6-481C-A6B7-67B82A309632}"/>
            </c:ext>
          </c:extLst>
        </c:ser>
        <c:ser>
          <c:idx val="3"/>
          <c:order val="3"/>
          <c:tx>
            <c:strRef>
              <c:f>'[2]Primarily Monthly Contracts'!$B$19:$C$19</c:f>
              <c:strCache>
                <c:ptCount val="1"/>
                <c:pt idx="0">
                  <c:v>Net New MRR</c:v>
                </c:pt>
              </c:strCache>
            </c:strRef>
          </c:tx>
          <c:spPr>
            <a:ln w="635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Contracts'!$D$15:$I$15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Contracts'!$D$19:$I$19</c:f>
              <c:numCache>
                <c:formatCode>General</c:formatCode>
                <c:ptCount val="6"/>
                <c:pt idx="0">
                  <c:v>15.6</c:v>
                </c:pt>
                <c:pt idx="1">
                  <c:v>14.272400000000001</c:v>
                </c:pt>
                <c:pt idx="2">
                  <c:v>17.622041599999999</c:v>
                </c:pt>
                <c:pt idx="3">
                  <c:v>18.392594492800001</c:v>
                </c:pt>
                <c:pt idx="4">
                  <c:v>25.136451855628799</c:v>
                </c:pt>
                <c:pt idx="5">
                  <c:v>23.598741632567283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6-481C-A6B7-67B82A309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879837376"/>
        <c:axId val="-879828128"/>
      </c:lineChart>
      <c:catAx>
        <c:axId val="-87983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571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9828128"/>
        <c:crosses val="autoZero"/>
        <c:auto val="1"/>
        <c:lblAlgn val="ctr"/>
        <c:lblOffset val="100"/>
        <c:noMultiLvlLbl val="0"/>
      </c:catAx>
      <c:valAx>
        <c:axId val="-87982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983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Bookings $,000's</a:t>
            </a:r>
          </a:p>
          <a:p>
            <a:pPr>
              <a:defRPr/>
            </a:pPr>
            <a:r>
              <a:rPr lang="en-US"/>
              <a:t>(from new custs</a:t>
            </a:r>
            <a:r>
              <a:rPr lang="en-US" baseline="0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Contracts'!$B$8:$C$8</c:f>
              <c:strCache>
                <c:ptCount val="1"/>
                <c:pt idx="0">
                  <c:v>Bookings $,000's (new custs)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Contracts'!$D$7:$I$7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Contracts'!$D$8:$I$8</c:f>
              <c:numCache>
                <c:formatCode>General</c:formatCode>
                <c:ptCount val="6"/>
                <c:pt idx="0">
                  <c:v>121</c:v>
                </c:pt>
                <c:pt idx="1">
                  <c:v>161.00000000000003</c:v>
                </c:pt>
                <c:pt idx="2">
                  <c:v>122.50000000000001</c:v>
                </c:pt>
                <c:pt idx="3">
                  <c:v>168.99999999999997</c:v>
                </c:pt>
                <c:pt idx="4">
                  <c:v>156.6</c:v>
                </c:pt>
                <c:pt idx="5">
                  <c:v>179.80000000000004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BD7-8279-AC76E2E5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4067456"/>
        <c:axId val="-1254061344"/>
      </c:lineChart>
      <c:catAx>
        <c:axId val="-12540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4061344"/>
        <c:crosses val="autoZero"/>
        <c:auto val="1"/>
        <c:lblAlgn val="ctr"/>
        <c:lblOffset val="100"/>
        <c:noMultiLvlLbl val="0"/>
      </c:catAx>
      <c:valAx>
        <c:axId val="-125406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4067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Contracts'!$B$9</c:f>
              <c:strCache>
                <c:ptCount val="1"/>
                <c:pt idx="0">
                  <c:v>Average Deal Size $'s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Contracts'!$C$7:$I$7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Contracts'!$C$9:$I$9</c:f>
              <c:numCache>
                <c:formatCode>General</c:formatCode>
                <c:ptCount val="7"/>
                <c:pt idx="1">
                  <c:v>3025</c:v>
                </c:pt>
                <c:pt idx="2">
                  <c:v>3833.3333333333339</c:v>
                </c:pt>
                <c:pt idx="3">
                  <c:v>2848.8372093023258</c:v>
                </c:pt>
                <c:pt idx="4">
                  <c:v>3673.9130434782605</c:v>
                </c:pt>
                <c:pt idx="5">
                  <c:v>3262.4999999999995</c:v>
                </c:pt>
                <c:pt idx="6">
                  <c:v>3457.6923076923081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0-49FB-ADB7-71BCED40A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4815488"/>
        <c:axId val="-984749920"/>
      </c:lineChart>
      <c:catAx>
        <c:axId val="-9848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4749920"/>
        <c:crosses val="autoZero"/>
        <c:auto val="1"/>
        <c:lblAlgn val="ctr"/>
        <c:lblOffset val="100"/>
        <c:noMultiLvlLbl val="0"/>
      </c:catAx>
      <c:valAx>
        <c:axId val="-9847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4815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Contracts'!$B$11</c:f>
              <c:strCache>
                <c:ptCount val="1"/>
                <c:pt idx="0">
                  <c:v>Average Months paid upfront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Contracts'!$C$7:$I$7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Contracts'!$C$11:$I$11</c:f>
              <c:numCache>
                <c:formatCode>General</c:formatCode>
                <c:ptCount val="7"/>
                <c:pt idx="1">
                  <c:v>5.5</c:v>
                </c:pt>
                <c:pt idx="2">
                  <c:v>7</c:v>
                </c:pt>
                <c:pt idx="3">
                  <c:v>5</c:v>
                </c:pt>
                <c:pt idx="4">
                  <c:v>6.5</c:v>
                </c:pt>
                <c:pt idx="5">
                  <c:v>5.8</c:v>
                </c:pt>
                <c:pt idx="6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E-4F95-8221-E3D74D402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3357216"/>
        <c:axId val="-763354896"/>
      </c:lineChart>
      <c:catAx>
        <c:axId val="-76335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54896"/>
        <c:crosses val="autoZero"/>
        <c:auto val="1"/>
        <c:lblAlgn val="ctr"/>
        <c:lblOffset val="100"/>
        <c:noMultiLvlLbl val="0"/>
      </c:catAx>
      <c:valAx>
        <c:axId val="-76335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5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 and Expansion as %</a:t>
            </a:r>
            <a:r>
              <a:rPr lang="en-US" baseline="0"/>
              <a:t> of MRR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Contracts'!$B$31</c:f>
              <c:strCache>
                <c:ptCount val="1"/>
                <c:pt idx="0">
                  <c:v>% Customer Churn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Contracts'!$C$31:$I$31</c:f>
              <c:numCache>
                <c:formatCode>General</c:formatCode>
                <c:ptCount val="7"/>
                <c:pt idx="1">
                  <c:v>3.0303030303030304E-2</c:v>
                </c:pt>
                <c:pt idx="2">
                  <c:v>3.094059405940594E-2</c:v>
                </c:pt>
                <c:pt idx="3">
                  <c:v>2.7878787878787878E-2</c:v>
                </c:pt>
                <c:pt idx="4">
                  <c:v>2.9585798816568046E-2</c:v>
                </c:pt>
                <c:pt idx="5">
                  <c:v>2.771362586605081E-2</c:v>
                </c:pt>
                <c:pt idx="6">
                  <c:v>2.9213483146067417E-2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D-49E8-8DA7-819F53F5E5E4}"/>
            </c:ext>
          </c:extLst>
        </c:ser>
        <c:ser>
          <c:idx val="1"/>
          <c:order val="1"/>
          <c:tx>
            <c:strRef>
              <c:f>'[2]Primarily Monthly Contracts'!$B$32</c:f>
              <c:strCache>
                <c:ptCount val="1"/>
                <c:pt idx="0">
                  <c:v>% MRR Churn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Contracts'!$C$32:$I$32</c:f>
              <c:numCache>
                <c:formatCode>General</c:formatCode>
                <c:ptCount val="7"/>
                <c:pt idx="1">
                  <c:v>2.1000000000000001E-2</c:v>
                </c:pt>
                <c:pt idx="2">
                  <c:v>2.7E-2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1.9E-2</c:v>
                </c:pt>
                <c:pt idx="6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D-49E8-8DA7-819F53F5E5E4}"/>
            </c:ext>
          </c:extLst>
        </c:ser>
        <c:ser>
          <c:idx val="2"/>
          <c:order val="2"/>
          <c:tx>
            <c:strRef>
              <c:f>'[2]Primarily Monthly Contracts'!$B$33</c:f>
              <c:strCache>
                <c:ptCount val="1"/>
                <c:pt idx="0">
                  <c:v>% MRR Expansion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Contracts'!$C$33:$I$33</c:f>
              <c:numCache>
                <c:formatCode>General</c:formatCode>
                <c:ptCount val="7"/>
                <c:pt idx="1">
                  <c:v>5.0000000000000001E-3</c:v>
                </c:pt>
                <c:pt idx="2">
                  <c:v>6.0000000000000001E-3</c:v>
                </c:pt>
                <c:pt idx="3">
                  <c:v>5.0000000000000001E-3</c:v>
                </c:pt>
                <c:pt idx="4">
                  <c:v>3.0000000000000001E-3</c:v>
                </c:pt>
                <c:pt idx="5">
                  <c:v>1.4999999999999999E-2</c:v>
                </c:pt>
                <c:pt idx="6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D-49E8-8DA7-819F53F5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898608"/>
        <c:axId val="-1253895856"/>
      </c:lineChart>
      <c:catAx>
        <c:axId val="-125389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95856"/>
        <c:crosses val="autoZero"/>
        <c:auto val="1"/>
        <c:lblAlgn val="ctr"/>
        <c:lblOffset val="100"/>
        <c:noMultiLvlLbl val="0"/>
      </c:catAx>
      <c:valAx>
        <c:axId val="-125389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9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LTV and CAC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Contracts'!$B$40</c:f>
              <c:strCache>
                <c:ptCount val="1"/>
                <c:pt idx="0">
                  <c:v>LTV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Contracts'!$C$40:$I$40</c:f>
              <c:numCache>
                <c:formatCode>General</c:formatCode>
                <c:ptCount val="7"/>
                <c:pt idx="1">
                  <c:v>21738.095238095237</c:v>
                </c:pt>
                <c:pt idx="2">
                  <c:v>16834.215167548504</c:v>
                </c:pt>
                <c:pt idx="3">
                  <c:v>22519.37984496124</c:v>
                </c:pt>
                <c:pt idx="4">
                  <c:v>23456.521739130432</c:v>
                </c:pt>
                <c:pt idx="5">
                  <c:v>24572.368421052633</c:v>
                </c:pt>
                <c:pt idx="6">
                  <c:v>25715.811965811969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7-48BA-8E3B-A1B25773963F}"/>
            </c:ext>
          </c:extLst>
        </c:ser>
        <c:ser>
          <c:idx val="1"/>
          <c:order val="1"/>
          <c:tx>
            <c:strRef>
              <c:f>'[2]Primarily Monthly Contracts'!$B$41</c:f>
              <c:strCache>
                <c:ptCount val="1"/>
                <c:pt idx="0">
                  <c:v>CAC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Contracts'!$C$41:$I$41</c:f>
              <c:numCache>
                <c:formatCode>General</c:formatCode>
                <c:ptCount val="7"/>
                <c:pt idx="1">
                  <c:v>8750</c:v>
                </c:pt>
                <c:pt idx="2">
                  <c:v>8571.4285714285706</c:v>
                </c:pt>
                <c:pt idx="3">
                  <c:v>8604.6511627906966</c:v>
                </c:pt>
                <c:pt idx="4">
                  <c:v>8260.8695652173901</c:v>
                </c:pt>
                <c:pt idx="5">
                  <c:v>8125</c:v>
                </c:pt>
                <c:pt idx="6">
                  <c:v>7692.3076923076924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8BA-8E3B-A1B257739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867200"/>
        <c:axId val="-1253864448"/>
      </c:lineChart>
      <c:catAx>
        <c:axId val="-12538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64448"/>
        <c:crosses val="autoZero"/>
        <c:auto val="1"/>
        <c:lblAlgn val="ctr"/>
        <c:lblOffset val="100"/>
        <c:noMultiLvlLbl val="0"/>
      </c:catAx>
      <c:valAx>
        <c:axId val="-1253864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6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Contracts'!$B$42</c:f>
              <c:strCache>
                <c:ptCount val="1"/>
                <c:pt idx="0">
                  <c:v>LTV to CAC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Contracts'!$C$42:$I$42</c:f>
              <c:numCache>
                <c:formatCode>General</c:formatCode>
                <c:ptCount val="7"/>
                <c:pt idx="1">
                  <c:v>2.4843537414965984</c:v>
                </c:pt>
                <c:pt idx="2">
                  <c:v>1.9639917695473257</c:v>
                </c:pt>
                <c:pt idx="3">
                  <c:v>2.6171171171171173</c:v>
                </c:pt>
                <c:pt idx="4">
                  <c:v>2.8394736842105264</c:v>
                </c:pt>
                <c:pt idx="5">
                  <c:v>3.024291497975709</c:v>
                </c:pt>
                <c:pt idx="6">
                  <c:v>3.3430555555555559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F-4B52-9E7D-427EF80A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3346080"/>
        <c:axId val="-763343760"/>
      </c:lineChart>
      <c:catAx>
        <c:axId val="-7633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43760"/>
        <c:crosses val="autoZero"/>
        <c:auto val="1"/>
        <c:lblAlgn val="ctr"/>
        <c:lblOffset val="100"/>
        <c:noMultiLvlLbl val="0"/>
      </c:catAx>
      <c:valAx>
        <c:axId val="-76334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4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Contracts'!$B$43</c:f>
              <c:strCache>
                <c:ptCount val="1"/>
                <c:pt idx="0">
                  <c:v>Months to Recover CAC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Contracts'!$C$43:$I$43</c:f>
              <c:numCache>
                <c:formatCode>General</c:formatCode>
                <c:ptCount val="7"/>
                <c:pt idx="1">
                  <c:v>19.167579408543265</c:v>
                </c:pt>
                <c:pt idx="2">
                  <c:v>18.858040859088526</c:v>
                </c:pt>
                <c:pt idx="3">
                  <c:v>18.19522989918859</c:v>
                </c:pt>
                <c:pt idx="4">
                  <c:v>17.608897126969417</c:v>
                </c:pt>
                <c:pt idx="5">
                  <c:v>17.402945113788487</c:v>
                </c:pt>
                <c:pt idx="6">
                  <c:v>16.618196925633569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D-4B2E-BD9A-8F661AC3E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3320288"/>
        <c:axId val="-763317968"/>
      </c:lineChart>
      <c:catAx>
        <c:axId val="-7633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17968"/>
        <c:crosses val="autoZero"/>
        <c:auto val="1"/>
        <c:lblAlgn val="ctr"/>
        <c:lblOffset val="100"/>
        <c:noMultiLvlLbl val="0"/>
      </c:catAx>
      <c:valAx>
        <c:axId val="-76331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2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Net Forecast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Proforma!$H$4:$L$4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Proforma!$H$27:$L$27</c:f>
              <c:numCache>
                <c:formatCode>_("$"* #,##0_);_("$"* \(#,##0\);_("$"* "-"??_);_(@_)</c:formatCode>
                <c:ptCount val="5"/>
                <c:pt idx="0">
                  <c:v>2931644.9999999991</c:v>
                </c:pt>
                <c:pt idx="1">
                  <c:v>20449884.999999993</c:v>
                </c:pt>
                <c:pt idx="2">
                  <c:v>59374569.999999985</c:v>
                </c:pt>
                <c:pt idx="3">
                  <c:v>117517726.66666663</c:v>
                </c:pt>
                <c:pt idx="4">
                  <c:v>196204629.99999994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9-4CB5-8D0A-DD7C8A68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9355295"/>
        <c:axId val="1749359039"/>
      </c:lineChart>
      <c:catAx>
        <c:axId val="1749355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59039"/>
        <c:crosses val="autoZero"/>
        <c:auto val="1"/>
        <c:lblAlgn val="ctr"/>
        <c:lblOffset val="100"/>
        <c:noMultiLvlLbl val="0"/>
      </c:catAx>
      <c:valAx>
        <c:axId val="1749359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355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Contracts'!$B$22</c:f>
              <c:strCache>
                <c:ptCount val="1"/>
                <c:pt idx="0">
                  <c:v>Ending MRR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Contracts'!$C$15:$I$15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Contracts'!$C$22:$I$22</c:f>
              <c:numCache>
                <c:formatCode>General</c:formatCode>
                <c:ptCount val="7"/>
                <c:pt idx="0">
                  <c:v>400</c:v>
                </c:pt>
                <c:pt idx="1">
                  <c:v>415.6</c:v>
                </c:pt>
                <c:pt idx="2">
                  <c:v>429.87240000000003</c:v>
                </c:pt>
                <c:pt idx="3">
                  <c:v>447.49444160000002</c:v>
                </c:pt>
                <c:pt idx="4">
                  <c:v>465.88703609280003</c:v>
                </c:pt>
                <c:pt idx="5">
                  <c:v>491.02348794842885</c:v>
                </c:pt>
                <c:pt idx="6">
                  <c:v>514.62222958099619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BBD-92E0-3789F5D04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850272"/>
        <c:axId val="-1253847520"/>
      </c:lineChart>
      <c:catAx>
        <c:axId val="-125385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47520"/>
        <c:crosses val="autoZero"/>
        <c:auto val="1"/>
        <c:lblAlgn val="ctr"/>
        <c:lblOffset val="100"/>
        <c:noMultiLvlLbl val="0"/>
      </c:catAx>
      <c:valAx>
        <c:axId val="-125384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5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Contracts'!$B$36</c:f>
              <c:strCache>
                <c:ptCount val="1"/>
                <c:pt idx="0">
                  <c:v>Customer Engagement Score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Contracts'!$C$36:$I$36</c:f>
              <c:numCache>
                <c:formatCode>General</c:formatCode>
                <c:ptCount val="7"/>
                <c:pt idx="1">
                  <c:v>121</c:v>
                </c:pt>
                <c:pt idx="2">
                  <c:v>120</c:v>
                </c:pt>
                <c:pt idx="3">
                  <c:v>125</c:v>
                </c:pt>
                <c:pt idx="4">
                  <c:v>126</c:v>
                </c:pt>
                <c:pt idx="5">
                  <c:v>130</c:v>
                </c:pt>
                <c:pt idx="6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3-483F-9164-5DC56CCC6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825520"/>
        <c:axId val="-1253822768"/>
      </c:lineChart>
      <c:catAx>
        <c:axId val="-125382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22768"/>
        <c:crosses val="autoZero"/>
        <c:auto val="1"/>
        <c:lblAlgn val="ctr"/>
        <c:lblOffset val="100"/>
        <c:noMultiLvlLbl val="0"/>
      </c:catAx>
      <c:valAx>
        <c:axId val="-125382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25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Contracts'!$B$37</c:f>
              <c:strCache>
                <c:ptCount val="1"/>
                <c:pt idx="0">
                  <c:v>Net Promoter Score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Contracts'!$C$37:$I$37</c:f>
              <c:numCache>
                <c:formatCode>General</c:formatCode>
                <c:ptCount val="7"/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C-4697-9144-B0EA5CE88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803664"/>
        <c:axId val="-1253800912"/>
      </c:lineChart>
      <c:catAx>
        <c:axId val="-125380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00912"/>
        <c:crosses val="autoZero"/>
        <c:auto val="1"/>
        <c:lblAlgn val="ctr"/>
        <c:lblOffset val="100"/>
        <c:noMultiLvlLbl val="0"/>
      </c:catAx>
      <c:valAx>
        <c:axId val="-125380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803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Contracts'!$B$70:$C$70</c:f>
              <c:strCache>
                <c:ptCount val="1"/>
                <c:pt idx="0">
                  <c:v>Vistors to Web Site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Contracts'!$D$70:$I$70</c:f>
              <c:numCache>
                <c:formatCode>General</c:formatCode>
                <c:ptCount val="6"/>
                <c:pt idx="0">
                  <c:v>4700</c:v>
                </c:pt>
                <c:pt idx="1">
                  <c:v>5178</c:v>
                </c:pt>
                <c:pt idx="2">
                  <c:v>4574</c:v>
                </c:pt>
                <c:pt idx="3">
                  <c:v>4923</c:v>
                </c:pt>
                <c:pt idx="4">
                  <c:v>5000</c:v>
                </c:pt>
                <c:pt idx="5">
                  <c:v>5170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6-495E-849F-B22B6C3CE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781632"/>
        <c:axId val="-1253778880"/>
      </c:lineChart>
      <c:catAx>
        <c:axId val="-125378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78880"/>
        <c:crosses val="autoZero"/>
        <c:auto val="1"/>
        <c:lblAlgn val="ctr"/>
        <c:lblOffset val="100"/>
        <c:noMultiLvlLbl val="0"/>
      </c:catAx>
      <c:valAx>
        <c:axId val="-12537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8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Contracts'!$B$71:$C$71</c:f>
              <c:strCache>
                <c:ptCount val="1"/>
                <c:pt idx="0">
                  <c:v>Conversion from Visitors to Trials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Contracts'!$D$71:$I$71</c:f>
              <c:numCache>
                <c:formatCode>General</c:formatCode>
                <c:ptCount val="6"/>
                <c:pt idx="0">
                  <c:v>0.05</c:v>
                </c:pt>
                <c:pt idx="1">
                  <c:v>4.4999999999999998E-2</c:v>
                </c:pt>
                <c:pt idx="2">
                  <c:v>4.7E-2</c:v>
                </c:pt>
                <c:pt idx="3">
                  <c:v>5.1999999999999998E-2</c:v>
                </c:pt>
                <c:pt idx="4">
                  <c:v>4.8000000000000001E-2</c:v>
                </c:pt>
                <c:pt idx="5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6-48A0-9C42-462416912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759648"/>
        <c:axId val="-1253756896"/>
      </c:lineChart>
      <c:catAx>
        <c:axId val="-12537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56896"/>
        <c:crosses val="autoZero"/>
        <c:auto val="1"/>
        <c:lblAlgn val="ctr"/>
        <c:lblOffset val="100"/>
        <c:noMultiLvlLbl val="0"/>
      </c:catAx>
      <c:valAx>
        <c:axId val="-125375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59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Contracts'!$B$72:$C$72</c:f>
              <c:strCache>
                <c:ptCount val="1"/>
                <c:pt idx="0">
                  <c:v>Trials in progress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Contracts'!$D$72:$I$72</c:f>
              <c:numCache>
                <c:formatCode>General</c:formatCode>
                <c:ptCount val="6"/>
                <c:pt idx="0">
                  <c:v>235</c:v>
                </c:pt>
                <c:pt idx="1">
                  <c:v>233</c:v>
                </c:pt>
                <c:pt idx="2">
                  <c:v>215</c:v>
                </c:pt>
                <c:pt idx="3">
                  <c:v>256</c:v>
                </c:pt>
                <c:pt idx="4">
                  <c:v>240</c:v>
                </c:pt>
                <c:pt idx="5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3-4A92-B12E-3EDEFC5E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737216"/>
        <c:axId val="-1253734464"/>
      </c:lineChart>
      <c:catAx>
        <c:axId val="-125373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34464"/>
        <c:crosses val="autoZero"/>
        <c:auto val="1"/>
        <c:lblAlgn val="ctr"/>
        <c:lblOffset val="100"/>
        <c:noMultiLvlLbl val="0"/>
      </c:catAx>
      <c:valAx>
        <c:axId val="-125373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3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Contracts'!$B$73:$C$73</c:f>
              <c:strCache>
                <c:ptCount val="1"/>
                <c:pt idx="0">
                  <c:v>Conversion from Trials to Purchase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Contracts'!$D$73:$I$73</c:f>
              <c:numCache>
                <c:formatCode>General</c:formatCode>
                <c:ptCount val="6"/>
                <c:pt idx="0">
                  <c:v>0.17</c:v>
                </c:pt>
                <c:pt idx="1">
                  <c:v>0.18</c:v>
                </c:pt>
                <c:pt idx="2">
                  <c:v>0.2</c:v>
                </c:pt>
                <c:pt idx="3">
                  <c:v>0.18</c:v>
                </c:pt>
                <c:pt idx="4">
                  <c:v>0.2</c:v>
                </c:pt>
                <c:pt idx="5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9-4F1D-8FD3-8C739074D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715008"/>
        <c:axId val="-1253712256"/>
      </c:lineChart>
      <c:catAx>
        <c:axId val="-12537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12256"/>
        <c:crosses val="autoZero"/>
        <c:auto val="1"/>
        <c:lblAlgn val="ctr"/>
        <c:lblOffset val="100"/>
        <c:noMultiLvlLbl val="0"/>
      </c:catAx>
      <c:valAx>
        <c:axId val="-125371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71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Contracts'!$B$27</c:f>
              <c:strCache>
                <c:ptCount val="1"/>
                <c:pt idx="0">
                  <c:v># of new Customers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Contracts'!$C$27:$I$27</c:f>
              <c:numCache>
                <c:formatCode>General</c:formatCode>
                <c:ptCount val="7"/>
                <c:pt idx="1">
                  <c:v>40</c:v>
                </c:pt>
                <c:pt idx="2">
                  <c:v>42</c:v>
                </c:pt>
                <c:pt idx="3">
                  <c:v>43</c:v>
                </c:pt>
                <c:pt idx="4">
                  <c:v>46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2-46CC-B3CA-D4B297584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698976"/>
        <c:axId val="-763332512"/>
      </c:lineChart>
      <c:catAx>
        <c:axId val="-125369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332512"/>
        <c:crosses val="autoZero"/>
        <c:auto val="1"/>
        <c:lblAlgn val="ctr"/>
        <c:lblOffset val="100"/>
        <c:noMultiLvlLbl val="0"/>
      </c:catAx>
      <c:valAx>
        <c:axId val="-76333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69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Contracts'!$B$77:$C$77</c:f>
              <c:strCache>
                <c:ptCount val="1"/>
                <c:pt idx="0">
                  <c:v>No of FTE Sales reps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Contracts'!$D$76:$I$76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Contracts'!$D$77:$I$77</c:f>
              <c:numCache>
                <c:formatCode>General</c:formatCode>
                <c:ptCount val="6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7.5</c:v>
                </c:pt>
                <c:pt idx="4">
                  <c:v>8</c:v>
                </c:pt>
                <c:pt idx="5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D-4C3F-B1D1-3BA21D3BD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3294160"/>
        <c:axId val="-763291840"/>
      </c:lineChart>
      <c:catAx>
        <c:axId val="-76329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291840"/>
        <c:crosses val="autoZero"/>
        <c:auto val="1"/>
        <c:lblAlgn val="ctr"/>
        <c:lblOffset val="100"/>
        <c:noMultiLvlLbl val="0"/>
      </c:catAx>
      <c:valAx>
        <c:axId val="-76329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29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Contracts'!$B$82:$C$82</c:f>
              <c:strCache>
                <c:ptCount val="1"/>
                <c:pt idx="0">
                  <c:v>Productivity per FTE sales rep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Contracts'!$D$76:$I$76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'[2]Primarily Monthly Contracts'!$D$82:$I$82</c:f>
              <c:numCache>
                <c:formatCode>General</c:formatCode>
                <c:ptCount val="6"/>
                <c:pt idx="0">
                  <c:v>3.6666666666666665</c:v>
                </c:pt>
                <c:pt idx="1">
                  <c:v>3.5384615384615383</c:v>
                </c:pt>
                <c:pt idx="2">
                  <c:v>3.5</c:v>
                </c:pt>
                <c:pt idx="3">
                  <c:v>3.4666666666666668</c:v>
                </c:pt>
                <c:pt idx="4">
                  <c:v>3.375</c:v>
                </c:pt>
                <c:pt idx="5">
                  <c:v>3.4117647058823528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E-4120-9B88-9B9F07D27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2733088"/>
        <c:axId val="-762463232"/>
      </c:lineChart>
      <c:catAx>
        <c:axId val="-7627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463232"/>
        <c:crosses val="autoZero"/>
        <c:auto val="1"/>
        <c:lblAlgn val="ctr"/>
        <c:lblOffset val="100"/>
        <c:noMultiLvlLbl val="0"/>
      </c:catAx>
      <c:valAx>
        <c:axId val="-76246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3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Single Customer Cash Flow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'[1]Simple SaaS analysis'!$A$26</c:f>
              <c:strCache>
                <c:ptCount val="1"/>
                <c:pt idx="0">
                  <c:v>CAC (Cost to acquire the customer)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'[1]Simple SaaS analysis'!$B$25:$M$25</c:f>
              <c:strCache>
                <c:ptCount val="12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</c:strCache>
            </c:strRef>
          </c:cat>
          <c:val>
            <c:numRef>
              <c:f>'[1]Simple SaaS analysis'!$B$26:$M$26</c:f>
              <c:numCache>
                <c:formatCode>General</c:formatCode>
                <c:ptCount val="12"/>
                <c:pt idx="0">
                  <c:v>-6000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F-4560-97A0-D8BF8CC2FF35}"/>
            </c:ext>
          </c:extLst>
        </c:ser>
        <c:ser>
          <c:idx val="1"/>
          <c:order val="1"/>
          <c:tx>
            <c:strRef>
              <c:f>'[1]Simple SaaS analysis'!$A$27</c:f>
              <c:strCache>
                <c:ptCount val="1"/>
                <c:pt idx="0">
                  <c:v>Subscription payments * GM%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'[1]Simple SaaS analysis'!$B$25:$M$25</c:f>
              <c:strCache>
                <c:ptCount val="12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</c:strCache>
            </c:strRef>
          </c:cat>
          <c:val>
            <c:numRef>
              <c:f>'[1]Simple SaaS analysis'!$B$27:$M$27</c:f>
              <c:numCache>
                <c:formatCode>General</c:formatCode>
                <c:ptCount val="12"/>
                <c:pt idx="0">
                  <c:v>0</c:v>
                </c:pt>
                <c:pt idx="1">
                  <c:v>480</c:v>
                </c:pt>
                <c:pt idx="2">
                  <c:v>480</c:v>
                </c:pt>
                <c:pt idx="3">
                  <c:v>480</c:v>
                </c:pt>
                <c:pt idx="4">
                  <c:v>480</c:v>
                </c:pt>
                <c:pt idx="5">
                  <c:v>480</c:v>
                </c:pt>
                <c:pt idx="6">
                  <c:v>480</c:v>
                </c:pt>
                <c:pt idx="7">
                  <c:v>480</c:v>
                </c:pt>
                <c:pt idx="8">
                  <c:v>480</c:v>
                </c:pt>
                <c:pt idx="9">
                  <c:v>480</c:v>
                </c:pt>
                <c:pt idx="10">
                  <c:v>480</c:v>
                </c:pt>
                <c:pt idx="11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F-4560-97A0-D8BF8CC2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100"/>
        <c:axId val="-1360515344"/>
        <c:axId val="-1301674256"/>
      </c:barChart>
      <c:catAx>
        <c:axId val="-1360515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aseline="0"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n-US"/>
          </a:p>
        </c:txPr>
        <c:crossAx val="-1301674256"/>
        <c:crosses val="autoZero"/>
        <c:auto val="1"/>
        <c:lblAlgn val="ctr"/>
        <c:lblOffset val="100"/>
        <c:noMultiLvlLbl val="0"/>
      </c:catAx>
      <c:valAx>
        <c:axId val="-1301674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3605153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Avg MRR</a:t>
            </a:r>
            <a:br>
              <a:rPr lang="en-US"/>
            </a:br>
            <a:r>
              <a:rPr lang="en-US"/>
              <a:t>(for</a:t>
            </a:r>
            <a:r>
              <a:rPr lang="en-US" baseline="0"/>
              <a:t> </a:t>
            </a:r>
            <a:r>
              <a:rPr lang="en-US"/>
              <a:t>new customers)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Contracts'!$B$12</c:f>
              <c:strCache>
                <c:ptCount val="1"/>
                <c:pt idx="0">
                  <c:v>ARPA (Average MRR) for new custs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Contracts'!$C$7:$I$7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Contracts'!$C$12:$I$12</c:f>
              <c:numCache>
                <c:formatCode>General</c:formatCode>
                <c:ptCount val="7"/>
                <c:pt idx="1">
                  <c:v>550</c:v>
                </c:pt>
                <c:pt idx="2">
                  <c:v>547.61904761904771</c:v>
                </c:pt>
                <c:pt idx="3">
                  <c:v>569.76744186046517</c:v>
                </c:pt>
                <c:pt idx="4">
                  <c:v>565.21739130434776</c:v>
                </c:pt>
                <c:pt idx="5">
                  <c:v>562.5</c:v>
                </c:pt>
                <c:pt idx="6">
                  <c:v>557.69230769230774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E-468E-BBA8-C8564D43F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689280"/>
        <c:axId val="-1253686528"/>
      </c:lineChart>
      <c:catAx>
        <c:axId val="-12536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686528"/>
        <c:crosses val="autoZero"/>
        <c:auto val="1"/>
        <c:lblAlgn val="ctr"/>
        <c:lblOffset val="100"/>
        <c:noMultiLvlLbl val="0"/>
      </c:catAx>
      <c:valAx>
        <c:axId val="-125368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68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'[2]Primarily Monthly Contracts'!$B$34</c:f>
              <c:strCache>
                <c:ptCount val="1"/>
                <c:pt idx="0">
                  <c:v>% Net MRR Churn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'[2]Primarily Monthly Contracts'!$C$25:$I$25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'[2]Primarily Monthly Contracts'!$C$34:$I$34</c:f>
              <c:numCache>
                <c:formatCode>General</c:formatCode>
                <c:ptCount val="7"/>
                <c:pt idx="1">
                  <c:v>1.6E-2</c:v>
                </c:pt>
                <c:pt idx="2">
                  <c:v>2.0999999999999998E-2</c:v>
                </c:pt>
                <c:pt idx="3">
                  <c:v>1.6E-2</c:v>
                </c:pt>
                <c:pt idx="4">
                  <c:v>1.7000000000000001E-2</c:v>
                </c:pt>
                <c:pt idx="5">
                  <c:v>4.0000000000000018E-3</c:v>
                </c:pt>
                <c:pt idx="6">
                  <c:v>1.1000000000000001E-2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A-414B-922E-B8CEDD49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664384"/>
        <c:axId val="-1253661632"/>
      </c:lineChart>
      <c:catAx>
        <c:axId val="-125366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661632"/>
        <c:crosses val="autoZero"/>
        <c:auto val="1"/>
        <c:lblAlgn val="ctr"/>
        <c:lblOffset val="100"/>
        <c:noMultiLvlLbl val="0"/>
      </c:catAx>
      <c:valAx>
        <c:axId val="-125366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66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ARR Bookings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Contracts'!$B$14:$C$14</c:f>
              <c:strCache>
                <c:ptCount val="1"/>
                <c:pt idx="0">
                  <c:v>New ARR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Contracts'!$D$13:$I$13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Contracts'!$D$14:$I$14</c:f>
              <c:numCache>
                <c:formatCode>General</c:formatCode>
                <c:ptCount val="6"/>
                <c:pt idx="0">
                  <c:v>264</c:v>
                </c:pt>
                <c:pt idx="1">
                  <c:v>276</c:v>
                </c:pt>
                <c:pt idx="2">
                  <c:v>294</c:v>
                </c:pt>
                <c:pt idx="3">
                  <c:v>312</c:v>
                </c:pt>
                <c:pt idx="4">
                  <c:v>324</c:v>
                </c:pt>
                <c:pt idx="5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E-41DE-99E1-5801332AD0F3}"/>
            </c:ext>
          </c:extLst>
        </c:ser>
        <c:ser>
          <c:idx val="1"/>
          <c:order val="1"/>
          <c:tx>
            <c:strRef>
              <c:f>'[2]Annual Contracts'!$B$15:$C$15</c:f>
              <c:strCache>
                <c:ptCount val="1"/>
                <c:pt idx="0">
                  <c:v>Churned ARR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Contracts'!$D$13:$I$13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Contracts'!$D$15:$I$15</c:f>
              <c:numCache>
                <c:formatCode>General</c:formatCode>
                <c:ptCount val="6"/>
                <c:pt idx="0">
                  <c:v>-100.80000000000001</c:v>
                </c:pt>
                <c:pt idx="1">
                  <c:v>-134.65439999999998</c:v>
                </c:pt>
                <c:pt idx="2">
                  <c:v>-108.32784479999999</c:v>
                </c:pt>
                <c:pt idx="3">
                  <c:v>-107.398665984</c:v>
                </c:pt>
                <c:pt idx="4">
                  <c:v>-106.22224422915839</c:v>
                </c:pt>
                <c:pt idx="5">
                  <c:v>-106.06107339686062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E-41DE-99E1-5801332AD0F3}"/>
            </c:ext>
          </c:extLst>
        </c:ser>
        <c:ser>
          <c:idx val="2"/>
          <c:order val="2"/>
          <c:tx>
            <c:strRef>
              <c:f>'[2]Annual Contracts'!$B$16:$C$16</c:f>
              <c:strCache>
                <c:ptCount val="1"/>
                <c:pt idx="0">
                  <c:v>Expansion ARR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Contracts'!$D$13:$I$13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Contracts'!$D$16:$I$16</c:f>
              <c:numCache>
                <c:formatCode>General</c:formatCode>
                <c:ptCount val="6"/>
                <c:pt idx="0">
                  <c:v>24</c:v>
                </c:pt>
                <c:pt idx="1">
                  <c:v>29.923199999999998</c:v>
                </c:pt>
                <c:pt idx="2">
                  <c:v>25.792344</c:v>
                </c:pt>
                <c:pt idx="3">
                  <c:v>16.109799897599999</c:v>
                </c:pt>
                <c:pt idx="4">
                  <c:v>83.859666496703994</c:v>
                </c:pt>
                <c:pt idx="5">
                  <c:v>41.245972987668019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E-41DE-99E1-5801332AD0F3}"/>
            </c:ext>
          </c:extLst>
        </c:ser>
        <c:ser>
          <c:idx val="3"/>
          <c:order val="3"/>
          <c:tx>
            <c:strRef>
              <c:f>'[2]Annual Contracts'!$B$17:$C$17</c:f>
              <c:strCache>
                <c:ptCount val="1"/>
                <c:pt idx="0">
                  <c:v>Net New ARR</c:v>
                </c:pt>
              </c:strCache>
            </c:strRef>
          </c:tx>
          <c:spPr>
            <a:ln w="635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Contracts'!$D$13:$I$13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Contracts'!$D$17:$I$17</c:f>
              <c:numCache>
                <c:formatCode>General</c:formatCode>
                <c:ptCount val="6"/>
                <c:pt idx="0">
                  <c:v>187.2</c:v>
                </c:pt>
                <c:pt idx="1">
                  <c:v>171.26880000000003</c:v>
                </c:pt>
                <c:pt idx="2">
                  <c:v>211.46449920000003</c:v>
                </c:pt>
                <c:pt idx="3">
                  <c:v>220.71113391360001</c:v>
                </c:pt>
                <c:pt idx="4">
                  <c:v>301.63742226754562</c:v>
                </c:pt>
                <c:pt idx="5">
                  <c:v>283.18489959080739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5E-41DE-99E1-5801332AD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363920"/>
        <c:axId val="-1253360656"/>
      </c:lineChart>
      <c:catAx>
        <c:axId val="-125336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5715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360656"/>
        <c:crosses val="autoZero"/>
        <c:auto val="1"/>
        <c:lblAlgn val="ctr"/>
        <c:lblOffset val="100"/>
        <c:noMultiLvlLbl val="0"/>
      </c:catAx>
      <c:valAx>
        <c:axId val="-125336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36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Bookings $,000's</a:t>
            </a:r>
          </a:p>
          <a:p>
            <a:pPr>
              <a:defRPr/>
            </a:pPr>
            <a:r>
              <a:rPr lang="en-US"/>
              <a:t>(from new custs</a:t>
            </a:r>
            <a:r>
              <a:rPr lang="en-US" baseline="0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Contracts'!$B$6:$C$6</c:f>
              <c:strCache>
                <c:ptCount val="1"/>
                <c:pt idx="0">
                  <c:v>Bookings $,000's (new custs)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Contracts'!$D$5:$I$5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Contracts'!$D$6:$I$6</c:f>
              <c:numCache>
                <c:formatCode>General</c:formatCode>
                <c:ptCount val="6"/>
                <c:pt idx="0">
                  <c:v>264</c:v>
                </c:pt>
                <c:pt idx="1">
                  <c:v>276</c:v>
                </c:pt>
                <c:pt idx="2">
                  <c:v>294</c:v>
                </c:pt>
                <c:pt idx="3">
                  <c:v>312</c:v>
                </c:pt>
                <c:pt idx="4">
                  <c:v>324</c:v>
                </c:pt>
                <c:pt idx="5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D-4AE2-BAD6-CA6B70EFA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3057648"/>
        <c:axId val="-763055328"/>
      </c:lineChart>
      <c:catAx>
        <c:axId val="-76305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055328"/>
        <c:crosses val="autoZero"/>
        <c:auto val="1"/>
        <c:lblAlgn val="ctr"/>
        <c:lblOffset val="100"/>
        <c:noMultiLvlLbl val="0"/>
      </c:catAx>
      <c:valAx>
        <c:axId val="-76305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057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Contracts'!$B$9</c:f>
              <c:strCache>
                <c:ptCount val="1"/>
                <c:pt idx="0">
                  <c:v>Average Months Paid Upfront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Contracts'!$C$5:$I$5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Contracts'!$C$9:$I$9</c:f>
              <c:numCache>
                <c:formatCode>General</c:formatCode>
                <c:ptCount val="7"/>
                <c:pt idx="1">
                  <c:v>5.5</c:v>
                </c:pt>
                <c:pt idx="2">
                  <c:v>7</c:v>
                </c:pt>
                <c:pt idx="3">
                  <c:v>5</c:v>
                </c:pt>
                <c:pt idx="4">
                  <c:v>6.5</c:v>
                </c:pt>
                <c:pt idx="5">
                  <c:v>5.8</c:v>
                </c:pt>
                <c:pt idx="6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7-4DA0-A81B-A1CA36444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3032032"/>
        <c:axId val="-763029712"/>
      </c:lineChart>
      <c:catAx>
        <c:axId val="-7630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029712"/>
        <c:crosses val="autoZero"/>
        <c:auto val="1"/>
        <c:lblAlgn val="ctr"/>
        <c:lblOffset val="100"/>
        <c:noMultiLvlLbl val="0"/>
      </c:catAx>
      <c:valAx>
        <c:axId val="-76302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303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 and Expansion as %</a:t>
            </a:r>
            <a:r>
              <a:rPr lang="en-US" baseline="0"/>
              <a:t> of ARR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Contracts'!$B$28</c:f>
              <c:strCache>
                <c:ptCount val="1"/>
                <c:pt idx="0">
                  <c:v>% Customer Churn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Contracts'!$C$28:$I$28</c:f>
              <c:numCache>
                <c:formatCode>General</c:formatCode>
                <c:ptCount val="7"/>
                <c:pt idx="1">
                  <c:v>3.0303030303030304E-2</c:v>
                </c:pt>
                <c:pt idx="2">
                  <c:v>3.094059405940594E-2</c:v>
                </c:pt>
                <c:pt idx="3">
                  <c:v>2.7878787878787878E-2</c:v>
                </c:pt>
                <c:pt idx="4">
                  <c:v>2.9585798816568046E-2</c:v>
                </c:pt>
                <c:pt idx="5">
                  <c:v>2.771362586605081E-2</c:v>
                </c:pt>
                <c:pt idx="6">
                  <c:v>2.9213483146067417E-2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7-4D37-B225-3E2CDA79168C}"/>
            </c:ext>
          </c:extLst>
        </c:ser>
        <c:ser>
          <c:idx val="1"/>
          <c:order val="1"/>
          <c:tx>
            <c:strRef>
              <c:f>'[2]Annual Contracts'!$B$29</c:f>
              <c:strCache>
                <c:ptCount val="1"/>
                <c:pt idx="0">
                  <c:v>% ARR Churn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Contracts'!$C$29:$I$29</c:f>
              <c:numCache>
                <c:formatCode>General</c:formatCode>
                <c:ptCount val="7"/>
                <c:pt idx="1">
                  <c:v>2.1000000000000001E-2</c:v>
                </c:pt>
                <c:pt idx="2">
                  <c:v>2.7E-2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1.9E-2</c:v>
                </c:pt>
                <c:pt idx="6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7-4D37-B225-3E2CDA79168C}"/>
            </c:ext>
          </c:extLst>
        </c:ser>
        <c:ser>
          <c:idx val="2"/>
          <c:order val="2"/>
          <c:tx>
            <c:strRef>
              <c:f>'[2]Annual Contracts'!$B$30</c:f>
              <c:strCache>
                <c:ptCount val="1"/>
                <c:pt idx="0">
                  <c:v>% ARR Expansion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Contracts'!$C$30:$I$30</c:f>
              <c:numCache>
                <c:formatCode>General</c:formatCode>
                <c:ptCount val="7"/>
                <c:pt idx="1">
                  <c:v>5.0000000000000001E-3</c:v>
                </c:pt>
                <c:pt idx="2">
                  <c:v>6.0000000000000001E-3</c:v>
                </c:pt>
                <c:pt idx="3">
                  <c:v>5.0000000000000001E-3</c:v>
                </c:pt>
                <c:pt idx="4">
                  <c:v>3.0000000000000001E-3</c:v>
                </c:pt>
                <c:pt idx="5">
                  <c:v>1.4999999999999999E-2</c:v>
                </c:pt>
                <c:pt idx="6">
                  <c:v>7.0000000000000001E-3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7-4D37-B225-3E2CDA79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2368432"/>
        <c:axId val="-762366112"/>
      </c:lineChart>
      <c:catAx>
        <c:axId val="-76236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366112"/>
        <c:crosses val="autoZero"/>
        <c:auto val="1"/>
        <c:lblAlgn val="ctr"/>
        <c:lblOffset val="100"/>
        <c:noMultiLvlLbl val="0"/>
      </c:catAx>
      <c:valAx>
        <c:axId val="-76236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36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LTV and CAC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Contracts'!$B$40</c:f>
              <c:strCache>
                <c:ptCount val="1"/>
                <c:pt idx="0">
                  <c:v>LTV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Contracts'!$C$40:$I$40</c:f>
              <c:numCache>
                <c:formatCode>General</c:formatCode>
                <c:ptCount val="7"/>
                <c:pt idx="1">
                  <c:v>21738.095238095237</c:v>
                </c:pt>
                <c:pt idx="2">
                  <c:v>16834.2151675485</c:v>
                </c:pt>
                <c:pt idx="3">
                  <c:v>22519.379844961233</c:v>
                </c:pt>
                <c:pt idx="4">
                  <c:v>23456.521739130432</c:v>
                </c:pt>
                <c:pt idx="5">
                  <c:v>24572.368421052633</c:v>
                </c:pt>
                <c:pt idx="6">
                  <c:v>25715.811965811969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A-4B68-BDAC-2AD47EAE3EC0}"/>
            </c:ext>
          </c:extLst>
        </c:ser>
        <c:ser>
          <c:idx val="1"/>
          <c:order val="1"/>
          <c:tx>
            <c:strRef>
              <c:f>'[2]Annual Contracts'!$B$41</c:f>
              <c:strCache>
                <c:ptCount val="1"/>
                <c:pt idx="0">
                  <c:v>CAC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Contracts'!$C$41:$I$41</c:f>
              <c:numCache>
                <c:formatCode>General</c:formatCode>
                <c:ptCount val="7"/>
                <c:pt idx="1">
                  <c:v>8750</c:v>
                </c:pt>
                <c:pt idx="2">
                  <c:v>8571.4285714285706</c:v>
                </c:pt>
                <c:pt idx="3">
                  <c:v>8604.6511627906966</c:v>
                </c:pt>
                <c:pt idx="4">
                  <c:v>8260.8695652173901</c:v>
                </c:pt>
                <c:pt idx="5">
                  <c:v>8125</c:v>
                </c:pt>
                <c:pt idx="6">
                  <c:v>7692.3076923076924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A-4B68-BDAC-2AD47EAE3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2771328"/>
        <c:axId val="-762769008"/>
      </c:lineChart>
      <c:catAx>
        <c:axId val="-7627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69008"/>
        <c:crosses val="autoZero"/>
        <c:auto val="1"/>
        <c:lblAlgn val="ctr"/>
        <c:lblOffset val="100"/>
        <c:noMultiLvlLbl val="0"/>
      </c:catAx>
      <c:valAx>
        <c:axId val="-76276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7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Contracts'!$B$42</c:f>
              <c:strCache>
                <c:ptCount val="1"/>
                <c:pt idx="0">
                  <c:v>LTV to CAC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Contracts'!$C$42:$I$42</c:f>
              <c:numCache>
                <c:formatCode>General</c:formatCode>
                <c:ptCount val="7"/>
                <c:pt idx="1">
                  <c:v>2.4843537414965984</c:v>
                </c:pt>
                <c:pt idx="2">
                  <c:v>1.9639917695473252</c:v>
                </c:pt>
                <c:pt idx="3">
                  <c:v>2.6171171171171168</c:v>
                </c:pt>
                <c:pt idx="4">
                  <c:v>2.8394736842105264</c:v>
                </c:pt>
                <c:pt idx="5">
                  <c:v>3.024291497975709</c:v>
                </c:pt>
                <c:pt idx="6">
                  <c:v>3.3430555555555559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3-48E9-80AA-9612B7244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2334288"/>
        <c:axId val="-762331968"/>
      </c:lineChart>
      <c:catAx>
        <c:axId val="-76233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331968"/>
        <c:crosses val="autoZero"/>
        <c:auto val="1"/>
        <c:lblAlgn val="ctr"/>
        <c:lblOffset val="100"/>
        <c:noMultiLvlLbl val="0"/>
      </c:catAx>
      <c:valAx>
        <c:axId val="-76233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33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Contracts'!$B$43</c:f>
              <c:strCache>
                <c:ptCount val="1"/>
                <c:pt idx="0">
                  <c:v>Months to Recover CAC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Contracts'!$C$39:$I$39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Contracts'!$C$43:$I$43</c:f>
              <c:numCache>
                <c:formatCode>General</c:formatCode>
                <c:ptCount val="7"/>
                <c:pt idx="1">
                  <c:v>19.167579408543265</c:v>
                </c:pt>
                <c:pt idx="2">
                  <c:v>18.858040859088529</c:v>
                </c:pt>
                <c:pt idx="3">
                  <c:v>18.195229899188593</c:v>
                </c:pt>
                <c:pt idx="4">
                  <c:v>17.608897126969413</c:v>
                </c:pt>
                <c:pt idx="5">
                  <c:v>17.402945113788487</c:v>
                </c:pt>
                <c:pt idx="6">
                  <c:v>16.618196925633569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7-48A1-A23E-7F7BD7044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332304"/>
        <c:axId val="-1253329552"/>
      </c:lineChart>
      <c:catAx>
        <c:axId val="-12533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329552"/>
        <c:crosses val="autoZero"/>
        <c:auto val="1"/>
        <c:lblAlgn val="ctr"/>
        <c:lblOffset val="100"/>
        <c:noMultiLvlLbl val="0"/>
      </c:catAx>
      <c:valAx>
        <c:axId val="-125332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33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Contracts'!$B$20</c:f>
              <c:strCache>
                <c:ptCount val="1"/>
                <c:pt idx="0">
                  <c:v>Ending ARR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Contracts'!$C$13:$I$13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Contracts'!$C$20:$I$20</c:f>
              <c:numCache>
                <c:formatCode>General</c:formatCode>
                <c:ptCount val="7"/>
                <c:pt idx="0">
                  <c:v>4800</c:v>
                </c:pt>
                <c:pt idx="1">
                  <c:v>4987.2</c:v>
                </c:pt>
                <c:pt idx="2">
                  <c:v>5158.4687999999996</c:v>
                </c:pt>
                <c:pt idx="3">
                  <c:v>5369.9332992</c:v>
                </c:pt>
                <c:pt idx="4">
                  <c:v>5590.6444331135999</c:v>
                </c:pt>
                <c:pt idx="5">
                  <c:v>5892.2818553811458</c:v>
                </c:pt>
                <c:pt idx="6">
                  <c:v>6175.4667549719534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B-403F-B6FC-E1620367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310064"/>
        <c:axId val="-1253307312"/>
      </c:lineChart>
      <c:catAx>
        <c:axId val="-125331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307312"/>
        <c:crosses val="autoZero"/>
        <c:auto val="1"/>
        <c:lblAlgn val="ctr"/>
        <c:lblOffset val="100"/>
        <c:noMultiLvlLbl val="0"/>
      </c:catAx>
      <c:valAx>
        <c:axId val="-125330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31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Single Customer</a:t>
            </a:r>
            <a:r>
              <a:rPr lang="en-US" sz="1600" baseline="0"/>
              <a:t> - </a:t>
            </a:r>
            <a:r>
              <a:rPr lang="en-US" sz="1600"/>
              <a:t>Cumulative Cash Flow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'[1]Simple SaaS analysis'!$A$29</c:f>
              <c:strCache>
                <c:ptCount val="1"/>
                <c:pt idx="0">
                  <c:v>Cumulative Cash Flow</c:v>
                </c:pt>
              </c:strCache>
            </c:strRef>
          </c:tx>
          <c:invertIfNegative val="0"/>
          <c:cat>
            <c:strRef>
              <c:f>'[1]Simple SaaS analysis'!$B$25:$S$25</c:f>
              <c:strCache>
                <c:ptCount val="18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</c:strCache>
            </c:strRef>
          </c:cat>
          <c:val>
            <c:numRef>
              <c:f>'[1]Simple SaaS analysis'!$B$29:$S$29</c:f>
              <c:numCache>
                <c:formatCode>General</c:formatCode>
                <c:ptCount val="18"/>
                <c:pt idx="0">
                  <c:v>-6000</c:v>
                </c:pt>
                <c:pt idx="1">
                  <c:v>-5520</c:v>
                </c:pt>
                <c:pt idx="2">
                  <c:v>-5040</c:v>
                </c:pt>
                <c:pt idx="3">
                  <c:v>-4560</c:v>
                </c:pt>
                <c:pt idx="4">
                  <c:v>-4080</c:v>
                </c:pt>
                <c:pt idx="5">
                  <c:v>-3600</c:v>
                </c:pt>
                <c:pt idx="6">
                  <c:v>-3120</c:v>
                </c:pt>
                <c:pt idx="7">
                  <c:v>-2640</c:v>
                </c:pt>
                <c:pt idx="8">
                  <c:v>-2160</c:v>
                </c:pt>
                <c:pt idx="9">
                  <c:v>-1680</c:v>
                </c:pt>
                <c:pt idx="10">
                  <c:v>-1200</c:v>
                </c:pt>
                <c:pt idx="11">
                  <c:v>-720</c:v>
                </c:pt>
                <c:pt idx="12">
                  <c:v>-240</c:v>
                </c:pt>
                <c:pt idx="13">
                  <c:v>240</c:v>
                </c:pt>
                <c:pt idx="14">
                  <c:v>720</c:v>
                </c:pt>
                <c:pt idx="15">
                  <c:v>1200</c:v>
                </c:pt>
                <c:pt idx="16">
                  <c:v>1680</c:v>
                </c:pt>
                <c:pt idx="17">
                  <c:v>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5-4E26-B130-A58B69C0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73889936"/>
        <c:axId val="-1181710080"/>
      </c:barChart>
      <c:catAx>
        <c:axId val="-117388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181710080"/>
        <c:crosses val="autoZero"/>
        <c:auto val="1"/>
        <c:lblAlgn val="ctr"/>
        <c:lblOffset val="100"/>
        <c:noMultiLvlLbl val="0"/>
      </c:catAx>
      <c:valAx>
        <c:axId val="-118171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173889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Contracts'!$B$36</c:f>
              <c:strCache>
                <c:ptCount val="1"/>
                <c:pt idx="0">
                  <c:v>Customer Engagement Score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Contracts'!$C$36:$I$36</c:f>
              <c:numCache>
                <c:formatCode>General</c:formatCode>
                <c:ptCount val="7"/>
                <c:pt idx="1">
                  <c:v>121</c:v>
                </c:pt>
                <c:pt idx="2">
                  <c:v>120</c:v>
                </c:pt>
                <c:pt idx="3">
                  <c:v>125</c:v>
                </c:pt>
                <c:pt idx="4">
                  <c:v>126</c:v>
                </c:pt>
                <c:pt idx="5">
                  <c:v>130</c:v>
                </c:pt>
                <c:pt idx="6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1-4E09-9B99-F21ECD1C5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2796112"/>
        <c:axId val="-762793792"/>
      </c:lineChart>
      <c:catAx>
        <c:axId val="-76279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93792"/>
        <c:crosses val="autoZero"/>
        <c:auto val="1"/>
        <c:lblAlgn val="ctr"/>
        <c:lblOffset val="100"/>
        <c:noMultiLvlLbl val="0"/>
      </c:catAx>
      <c:valAx>
        <c:axId val="-7627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9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Contracts'!$B$37</c:f>
              <c:strCache>
                <c:ptCount val="1"/>
                <c:pt idx="0">
                  <c:v>Net Promoter Score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Contracts'!$C$37:$I$37</c:f>
              <c:numCache>
                <c:formatCode>General</c:formatCode>
                <c:ptCount val="7"/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C-4636-8777-39E373FF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2712512"/>
        <c:axId val="-762784848"/>
      </c:lineChart>
      <c:catAx>
        <c:axId val="-7627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84848"/>
        <c:crosses val="autoZero"/>
        <c:auto val="1"/>
        <c:lblAlgn val="ctr"/>
        <c:lblOffset val="100"/>
        <c:noMultiLvlLbl val="0"/>
      </c:catAx>
      <c:valAx>
        <c:axId val="-76278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2712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Contracts'!$B$70:$C$70</c:f>
              <c:strCache>
                <c:ptCount val="1"/>
                <c:pt idx="0">
                  <c:v>Raw Leads / Enquiries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Contracts'!$D$70:$I$70</c:f>
              <c:numCache>
                <c:formatCode>General</c:formatCode>
                <c:ptCount val="6"/>
                <c:pt idx="0">
                  <c:v>3611</c:v>
                </c:pt>
                <c:pt idx="1">
                  <c:v>3429</c:v>
                </c:pt>
                <c:pt idx="2">
                  <c:v>5200</c:v>
                </c:pt>
                <c:pt idx="3">
                  <c:v>5357</c:v>
                </c:pt>
                <c:pt idx="4">
                  <c:v>4684</c:v>
                </c:pt>
                <c:pt idx="5">
                  <c:v>4400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C-4C0E-8AC2-A63890922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1218496"/>
        <c:axId val="-761216176"/>
      </c:lineChart>
      <c:catAx>
        <c:axId val="-76121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216176"/>
        <c:crosses val="autoZero"/>
        <c:auto val="1"/>
        <c:lblAlgn val="ctr"/>
        <c:lblOffset val="100"/>
        <c:noMultiLvlLbl val="0"/>
      </c:catAx>
      <c:valAx>
        <c:axId val="-76121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218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Contracts'!$B$71:$C$71</c:f>
              <c:strCache>
                <c:ptCount val="1"/>
                <c:pt idx="0">
                  <c:v>Conversion Raw Leads to MQLs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Contracts'!$D$71:$I$71</c:f>
              <c:numCache>
                <c:formatCode>General</c:formatCode>
                <c:ptCount val="6"/>
                <c:pt idx="0">
                  <c:v>1.7999999999999999E-2</c:v>
                </c:pt>
                <c:pt idx="1">
                  <c:v>2.1000000000000001E-2</c:v>
                </c:pt>
                <c:pt idx="2">
                  <c:v>1.4999999999999999E-2</c:v>
                </c:pt>
                <c:pt idx="3">
                  <c:v>1.4E-2</c:v>
                </c:pt>
                <c:pt idx="4">
                  <c:v>1.9E-2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FE2-845A-96C278564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761192304"/>
        <c:axId val="-761189984"/>
      </c:lineChart>
      <c:catAx>
        <c:axId val="-76119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189984"/>
        <c:crosses val="autoZero"/>
        <c:auto val="1"/>
        <c:lblAlgn val="ctr"/>
        <c:lblOffset val="100"/>
        <c:noMultiLvlLbl val="0"/>
      </c:catAx>
      <c:valAx>
        <c:axId val="-76118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19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Contracts'!$B$72:$C$72</c:f>
              <c:strCache>
                <c:ptCount val="1"/>
                <c:pt idx="0">
                  <c:v>Opportunities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Contracts'!$D$72:$I$72</c:f>
              <c:numCache>
                <c:formatCode>General</c:formatCode>
                <c:ptCount val="6"/>
                <c:pt idx="0">
                  <c:v>65</c:v>
                </c:pt>
                <c:pt idx="1">
                  <c:v>72</c:v>
                </c:pt>
                <c:pt idx="2">
                  <c:v>78</c:v>
                </c:pt>
                <c:pt idx="3">
                  <c:v>75</c:v>
                </c:pt>
                <c:pt idx="4">
                  <c:v>89</c:v>
                </c:pt>
                <c:pt idx="5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D-4633-B092-90BDD07A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4179824"/>
        <c:axId val="-983895552"/>
      </c:lineChart>
      <c:catAx>
        <c:axId val="-98417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3895552"/>
        <c:crosses val="autoZero"/>
        <c:auto val="1"/>
        <c:lblAlgn val="ctr"/>
        <c:lblOffset val="100"/>
        <c:noMultiLvlLbl val="0"/>
      </c:catAx>
      <c:valAx>
        <c:axId val="-9838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417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Contracts'!$B$73:$C$73</c:f>
              <c:strCache>
                <c:ptCount val="1"/>
                <c:pt idx="0">
                  <c:v>Conversion: Oppties to Win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Contracts'!$D$69:$I$69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Contracts'!$D$73:$I$73</c:f>
              <c:numCache>
                <c:formatCode>General</c:formatCode>
                <c:ptCount val="6"/>
                <c:pt idx="0">
                  <c:v>0.62</c:v>
                </c:pt>
                <c:pt idx="1">
                  <c:v>0.57999999999999996</c:v>
                </c:pt>
                <c:pt idx="2">
                  <c:v>0.55000000000000004</c:v>
                </c:pt>
                <c:pt idx="3">
                  <c:v>0.61</c:v>
                </c:pt>
                <c:pt idx="4">
                  <c:v>0.54</c:v>
                </c:pt>
                <c:pt idx="5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8-49DF-8B75-8D7BC9CC9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1509280"/>
        <c:axId val="-761154496"/>
      </c:lineChart>
      <c:catAx>
        <c:axId val="-98150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761154496"/>
        <c:crosses val="autoZero"/>
        <c:auto val="1"/>
        <c:lblAlgn val="ctr"/>
        <c:lblOffset val="100"/>
        <c:noMultiLvlLbl val="0"/>
      </c:catAx>
      <c:valAx>
        <c:axId val="-761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150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Contracts'!$B$24</c:f>
              <c:strCache>
                <c:ptCount val="1"/>
                <c:pt idx="0">
                  <c:v># of new Customers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Contracts'!$C$24:$I$24</c:f>
              <c:numCache>
                <c:formatCode>General</c:formatCode>
                <c:ptCount val="7"/>
                <c:pt idx="1">
                  <c:v>40</c:v>
                </c:pt>
                <c:pt idx="2">
                  <c:v>42</c:v>
                </c:pt>
                <c:pt idx="3">
                  <c:v>43</c:v>
                </c:pt>
                <c:pt idx="4">
                  <c:v>46</c:v>
                </c:pt>
                <c:pt idx="5">
                  <c:v>48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6-42B4-BC4E-CF8A511DD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289824"/>
        <c:axId val="-1253287072"/>
      </c:lineChart>
      <c:catAx>
        <c:axId val="-12532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87072"/>
        <c:crosses val="autoZero"/>
        <c:auto val="1"/>
        <c:lblAlgn val="ctr"/>
        <c:lblOffset val="100"/>
        <c:noMultiLvlLbl val="0"/>
      </c:catAx>
      <c:valAx>
        <c:axId val="-125328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8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Contracts'!$B$77:$C$77</c:f>
              <c:strCache>
                <c:ptCount val="1"/>
                <c:pt idx="0">
                  <c:v>No of FTE Sales reps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Contracts'!$D$76:$I$76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Contracts'!$D$77:$I$77</c:f>
              <c:numCache>
                <c:formatCode>General</c:formatCode>
                <c:ptCount val="6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7.5</c:v>
                </c:pt>
                <c:pt idx="4">
                  <c:v>8</c:v>
                </c:pt>
                <c:pt idx="5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A0-44D9-AD4D-FA9DCB78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276224"/>
        <c:axId val="-1253273472"/>
      </c:lineChart>
      <c:catAx>
        <c:axId val="-12532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73472"/>
        <c:crosses val="autoZero"/>
        <c:auto val="1"/>
        <c:lblAlgn val="ctr"/>
        <c:lblOffset val="100"/>
        <c:noMultiLvlLbl val="0"/>
      </c:catAx>
      <c:valAx>
        <c:axId val="-125327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76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Contracts'!$B$82:$C$82</c:f>
              <c:strCache>
                <c:ptCount val="1"/>
                <c:pt idx="0">
                  <c:v>Productivity per FTE sales rep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Contracts'!$D$76:$I$76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Contracts'!$D$82:$I$82</c:f>
              <c:numCache>
                <c:formatCode>General</c:formatCode>
                <c:ptCount val="6"/>
                <c:pt idx="0">
                  <c:v>44</c:v>
                </c:pt>
                <c:pt idx="1">
                  <c:v>42.46153846153846</c:v>
                </c:pt>
                <c:pt idx="2">
                  <c:v>42</c:v>
                </c:pt>
                <c:pt idx="3">
                  <c:v>41.6</c:v>
                </c:pt>
                <c:pt idx="4">
                  <c:v>40.5</c:v>
                </c:pt>
                <c:pt idx="5">
                  <c:v>40.941176470588232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D-49EE-9AFD-4015B362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261872"/>
        <c:axId val="-1253259120"/>
      </c:lineChart>
      <c:catAx>
        <c:axId val="-125326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59120"/>
        <c:crosses val="autoZero"/>
        <c:auto val="1"/>
        <c:lblAlgn val="ctr"/>
        <c:lblOffset val="100"/>
        <c:noMultiLvlLbl val="0"/>
      </c:catAx>
      <c:valAx>
        <c:axId val="-125325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6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Contracts'!$B$10</c:f>
              <c:strCache>
                <c:ptCount val="1"/>
                <c:pt idx="0">
                  <c:v>ARPA - Avg MRR (for new Custs)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Contracts'!$C$5:$I$5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Contracts'!$C$10:$I$10</c:f>
              <c:numCache>
                <c:formatCode>General</c:formatCode>
                <c:ptCount val="7"/>
                <c:pt idx="1">
                  <c:v>550</c:v>
                </c:pt>
                <c:pt idx="2">
                  <c:v>547.61904761904759</c:v>
                </c:pt>
                <c:pt idx="3">
                  <c:v>569.76744186046506</c:v>
                </c:pt>
                <c:pt idx="4">
                  <c:v>565.21739130434787</c:v>
                </c:pt>
                <c:pt idx="5">
                  <c:v>562.5</c:v>
                </c:pt>
                <c:pt idx="6">
                  <c:v>557.69230769230774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4-401E-86B5-9DD95E340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235168"/>
        <c:axId val="-1253232416"/>
      </c:lineChart>
      <c:catAx>
        <c:axId val="-12532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32416"/>
        <c:crosses val="autoZero"/>
        <c:auto val="1"/>
        <c:lblAlgn val="ctr"/>
        <c:lblOffset val="100"/>
        <c:noMultiLvlLbl val="0"/>
      </c:catAx>
      <c:valAx>
        <c:axId val="-125323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3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Cash Flows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'[1]Simple SaaS analysis'!$A$39</c:f>
              <c:strCache>
                <c:ptCount val="1"/>
                <c:pt idx="0">
                  <c:v>CAC</c:v>
                </c:pt>
              </c:strCache>
            </c:strRef>
          </c:tx>
          <c:invertIfNegative val="0"/>
          <c:cat>
            <c:strRef>
              <c:f>'[1]Simple SaaS analysis'!$B$35:$BI$35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analysis'!$B$39:$BI$39</c:f>
              <c:numCache>
                <c:formatCode>General</c:formatCode>
                <c:ptCount val="60"/>
                <c:pt idx="0">
                  <c:v>-60000</c:v>
                </c:pt>
                <c:pt idx="1">
                  <c:v>-72000</c:v>
                </c:pt>
                <c:pt idx="2">
                  <c:v>-84000</c:v>
                </c:pt>
                <c:pt idx="3">
                  <c:v>-96000</c:v>
                </c:pt>
                <c:pt idx="4">
                  <c:v>-108000</c:v>
                </c:pt>
                <c:pt idx="5">
                  <c:v>-120000</c:v>
                </c:pt>
                <c:pt idx="6">
                  <c:v>-132000</c:v>
                </c:pt>
                <c:pt idx="7">
                  <c:v>-144000</c:v>
                </c:pt>
                <c:pt idx="8">
                  <c:v>-156000</c:v>
                </c:pt>
                <c:pt idx="9">
                  <c:v>-168000</c:v>
                </c:pt>
                <c:pt idx="10">
                  <c:v>-180000</c:v>
                </c:pt>
                <c:pt idx="11">
                  <c:v>-192000</c:v>
                </c:pt>
                <c:pt idx="12">
                  <c:v>-204000</c:v>
                </c:pt>
                <c:pt idx="13">
                  <c:v>-216000</c:v>
                </c:pt>
                <c:pt idx="14">
                  <c:v>-228000</c:v>
                </c:pt>
                <c:pt idx="15">
                  <c:v>-240000</c:v>
                </c:pt>
                <c:pt idx="16">
                  <c:v>-252000</c:v>
                </c:pt>
                <c:pt idx="17">
                  <c:v>-264000</c:v>
                </c:pt>
                <c:pt idx="18">
                  <c:v>-276000</c:v>
                </c:pt>
                <c:pt idx="19">
                  <c:v>-288000</c:v>
                </c:pt>
                <c:pt idx="20">
                  <c:v>-300000</c:v>
                </c:pt>
                <c:pt idx="21">
                  <c:v>-312000</c:v>
                </c:pt>
                <c:pt idx="22">
                  <c:v>-324000</c:v>
                </c:pt>
                <c:pt idx="23">
                  <c:v>-336000</c:v>
                </c:pt>
                <c:pt idx="24">
                  <c:v>-348000</c:v>
                </c:pt>
                <c:pt idx="25">
                  <c:v>-360000</c:v>
                </c:pt>
                <c:pt idx="26">
                  <c:v>-372000</c:v>
                </c:pt>
                <c:pt idx="27">
                  <c:v>-384000</c:v>
                </c:pt>
                <c:pt idx="28">
                  <c:v>-396000</c:v>
                </c:pt>
                <c:pt idx="29">
                  <c:v>-408000</c:v>
                </c:pt>
                <c:pt idx="30">
                  <c:v>-420000</c:v>
                </c:pt>
                <c:pt idx="31">
                  <c:v>-432000</c:v>
                </c:pt>
                <c:pt idx="32">
                  <c:v>-444000</c:v>
                </c:pt>
                <c:pt idx="33">
                  <c:v>-456000</c:v>
                </c:pt>
                <c:pt idx="34">
                  <c:v>-468000</c:v>
                </c:pt>
                <c:pt idx="35">
                  <c:v>-480000</c:v>
                </c:pt>
                <c:pt idx="36">
                  <c:v>-492000</c:v>
                </c:pt>
                <c:pt idx="37">
                  <c:v>-504000</c:v>
                </c:pt>
                <c:pt idx="38">
                  <c:v>-516000</c:v>
                </c:pt>
                <c:pt idx="39">
                  <c:v>-528000</c:v>
                </c:pt>
                <c:pt idx="40">
                  <c:v>-540000</c:v>
                </c:pt>
                <c:pt idx="41">
                  <c:v>-552000</c:v>
                </c:pt>
                <c:pt idx="42">
                  <c:v>-564000</c:v>
                </c:pt>
                <c:pt idx="43">
                  <c:v>-576000</c:v>
                </c:pt>
                <c:pt idx="44">
                  <c:v>-588000</c:v>
                </c:pt>
                <c:pt idx="45">
                  <c:v>-600000</c:v>
                </c:pt>
                <c:pt idx="46">
                  <c:v>-612000</c:v>
                </c:pt>
                <c:pt idx="47">
                  <c:v>-624000</c:v>
                </c:pt>
                <c:pt idx="48">
                  <c:v>-636000</c:v>
                </c:pt>
                <c:pt idx="49">
                  <c:v>-648000</c:v>
                </c:pt>
                <c:pt idx="50">
                  <c:v>-660000</c:v>
                </c:pt>
                <c:pt idx="51">
                  <c:v>-672000</c:v>
                </c:pt>
                <c:pt idx="52">
                  <c:v>-684000</c:v>
                </c:pt>
                <c:pt idx="53">
                  <c:v>-696000</c:v>
                </c:pt>
                <c:pt idx="54">
                  <c:v>-708000</c:v>
                </c:pt>
                <c:pt idx="55">
                  <c:v>-720000</c:v>
                </c:pt>
                <c:pt idx="56">
                  <c:v>-732000</c:v>
                </c:pt>
                <c:pt idx="57">
                  <c:v>-744000</c:v>
                </c:pt>
                <c:pt idx="58">
                  <c:v>-756000</c:v>
                </c:pt>
                <c:pt idx="59">
                  <c:v>-768000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C90-B1AF-F82E45CB6D10}"/>
            </c:ext>
          </c:extLst>
        </c:ser>
        <c:ser>
          <c:idx val="1"/>
          <c:order val="1"/>
          <c:tx>
            <c:strRef>
              <c:f>'[1]Simple SaaS analysis'!$A$40</c:f>
              <c:strCache>
                <c:ptCount val="1"/>
                <c:pt idx="0">
                  <c:v>Subscription Payments * GM%</c:v>
                </c:pt>
              </c:strCache>
            </c:strRef>
          </c:tx>
          <c:invertIfNegative val="0"/>
          <c:cat>
            <c:strRef>
              <c:f>'[1]Simple SaaS analysis'!$B$35:$BI$35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analysis'!$B$40:$BI$40</c:f>
              <c:numCache>
                <c:formatCode>General</c:formatCode>
                <c:ptCount val="60"/>
                <c:pt idx="0">
                  <c:v>4800</c:v>
                </c:pt>
                <c:pt idx="1">
                  <c:v>10560</c:v>
                </c:pt>
                <c:pt idx="2">
                  <c:v>16800</c:v>
                </c:pt>
                <c:pt idx="3">
                  <c:v>24000</c:v>
                </c:pt>
                <c:pt idx="4">
                  <c:v>32160</c:v>
                </c:pt>
                <c:pt idx="5">
                  <c:v>40800</c:v>
                </c:pt>
                <c:pt idx="6">
                  <c:v>50400</c:v>
                </c:pt>
                <c:pt idx="7">
                  <c:v>60480</c:v>
                </c:pt>
                <c:pt idx="8">
                  <c:v>71520</c:v>
                </c:pt>
                <c:pt idx="9">
                  <c:v>83040</c:v>
                </c:pt>
                <c:pt idx="10">
                  <c:v>95520</c:v>
                </c:pt>
                <c:pt idx="11">
                  <c:v>108480</c:v>
                </c:pt>
                <c:pt idx="12">
                  <c:v>121920</c:v>
                </c:pt>
                <c:pt idx="13">
                  <c:v>136320</c:v>
                </c:pt>
                <c:pt idx="14">
                  <c:v>151200</c:v>
                </c:pt>
                <c:pt idx="15">
                  <c:v>166560</c:v>
                </c:pt>
                <c:pt idx="16">
                  <c:v>182400</c:v>
                </c:pt>
                <c:pt idx="17">
                  <c:v>198720</c:v>
                </c:pt>
                <c:pt idx="18">
                  <c:v>216000</c:v>
                </c:pt>
                <c:pt idx="19">
                  <c:v>233760</c:v>
                </c:pt>
                <c:pt idx="20">
                  <c:v>252000</c:v>
                </c:pt>
                <c:pt idx="21">
                  <c:v>270720</c:v>
                </c:pt>
                <c:pt idx="22">
                  <c:v>289920</c:v>
                </c:pt>
                <c:pt idx="23">
                  <c:v>309600</c:v>
                </c:pt>
                <c:pt idx="24">
                  <c:v>329760</c:v>
                </c:pt>
                <c:pt idx="25">
                  <c:v>350400</c:v>
                </c:pt>
                <c:pt idx="26">
                  <c:v>371520</c:v>
                </c:pt>
                <c:pt idx="27">
                  <c:v>393120</c:v>
                </c:pt>
                <c:pt idx="28">
                  <c:v>415200</c:v>
                </c:pt>
                <c:pt idx="29">
                  <c:v>437280</c:v>
                </c:pt>
                <c:pt idx="30">
                  <c:v>459840</c:v>
                </c:pt>
                <c:pt idx="31">
                  <c:v>482880</c:v>
                </c:pt>
                <c:pt idx="32">
                  <c:v>506400</c:v>
                </c:pt>
                <c:pt idx="33">
                  <c:v>530400</c:v>
                </c:pt>
                <c:pt idx="34">
                  <c:v>554400</c:v>
                </c:pt>
                <c:pt idx="35">
                  <c:v>578880</c:v>
                </c:pt>
                <c:pt idx="36">
                  <c:v>603840</c:v>
                </c:pt>
                <c:pt idx="37">
                  <c:v>629280</c:v>
                </c:pt>
                <c:pt idx="38">
                  <c:v>654720</c:v>
                </c:pt>
                <c:pt idx="39">
                  <c:v>680640</c:v>
                </c:pt>
                <c:pt idx="40">
                  <c:v>707040</c:v>
                </c:pt>
                <c:pt idx="41">
                  <c:v>733440</c:v>
                </c:pt>
                <c:pt idx="42">
                  <c:v>760320</c:v>
                </c:pt>
                <c:pt idx="43">
                  <c:v>787200</c:v>
                </c:pt>
                <c:pt idx="44">
                  <c:v>814560</c:v>
                </c:pt>
                <c:pt idx="45">
                  <c:v>842400</c:v>
                </c:pt>
                <c:pt idx="46">
                  <c:v>870240</c:v>
                </c:pt>
                <c:pt idx="47">
                  <c:v>898560</c:v>
                </c:pt>
                <c:pt idx="48">
                  <c:v>926880</c:v>
                </c:pt>
                <c:pt idx="49">
                  <c:v>955680</c:v>
                </c:pt>
                <c:pt idx="50">
                  <c:v>984480</c:v>
                </c:pt>
                <c:pt idx="51">
                  <c:v>1013760</c:v>
                </c:pt>
                <c:pt idx="52">
                  <c:v>1043040</c:v>
                </c:pt>
                <c:pt idx="53">
                  <c:v>1072800</c:v>
                </c:pt>
                <c:pt idx="54">
                  <c:v>1102560</c:v>
                </c:pt>
                <c:pt idx="55">
                  <c:v>1132800</c:v>
                </c:pt>
                <c:pt idx="56">
                  <c:v>1163040</c:v>
                </c:pt>
                <c:pt idx="57">
                  <c:v>1193280</c:v>
                </c:pt>
                <c:pt idx="58">
                  <c:v>1224000</c:v>
                </c:pt>
                <c:pt idx="59">
                  <c:v>1254720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0-4C90-B1AF-F82E45CB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-1175736976"/>
        <c:axId val="-1176059808"/>
      </c:barChart>
      <c:catAx>
        <c:axId val="-1175736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1176059808"/>
        <c:crosses val="autoZero"/>
        <c:auto val="1"/>
        <c:lblAlgn val="ctr"/>
        <c:lblOffset val="100"/>
        <c:noMultiLvlLbl val="0"/>
      </c:catAx>
      <c:valAx>
        <c:axId val="-11760598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-1175736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Net ARR Churn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Contracts'!$B$31</c:f>
              <c:strCache>
                <c:ptCount val="1"/>
                <c:pt idx="0">
                  <c:v>% Net ARR Churn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Contracts'!$C$22:$I$22</c:f>
              <c:strCache>
                <c:ptCount val="7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Contracts'!$C$31:$I$31</c:f>
              <c:numCache>
                <c:formatCode>General</c:formatCode>
                <c:ptCount val="7"/>
                <c:pt idx="1">
                  <c:v>1.6000000000000004E-2</c:v>
                </c:pt>
                <c:pt idx="2">
                  <c:v>2.0999999999999998E-2</c:v>
                </c:pt>
                <c:pt idx="3">
                  <c:v>1.6E-2</c:v>
                </c:pt>
                <c:pt idx="4">
                  <c:v>1.7000000000000001E-2</c:v>
                </c:pt>
                <c:pt idx="5">
                  <c:v>3.9999999999999992E-3</c:v>
                </c:pt>
                <c:pt idx="6">
                  <c:v>1.1000000000000001E-2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4-4B12-950F-E0268B02A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53213712"/>
        <c:axId val="-1253210960"/>
      </c:lineChart>
      <c:catAx>
        <c:axId val="-12532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10960"/>
        <c:crosses val="autoZero"/>
        <c:auto val="1"/>
        <c:lblAlgn val="ctr"/>
        <c:lblOffset val="100"/>
        <c:noMultiLvlLbl val="0"/>
      </c:catAx>
      <c:valAx>
        <c:axId val="-125321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5321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Contracts'!$B$79:$C$79</c:f>
              <c:strCache>
                <c:ptCount val="1"/>
                <c:pt idx="0">
                  <c:v>Sales Capacity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Contracts'!$D$76:$I$76</c:f>
              <c:strCache>
                <c:ptCount val="6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</c:strCache>
            </c:strRef>
          </c:cat>
          <c:val>
            <c:numRef>
              <c:f>'[2]Annual Contracts'!$D$79:$I$79</c:f>
              <c:numCache>
                <c:formatCode>General</c:formatCode>
                <c:ptCount val="6"/>
                <c:pt idx="0">
                  <c:v>25</c:v>
                </c:pt>
                <c:pt idx="1">
                  <c:v>27.083333333333336</c:v>
                </c:pt>
                <c:pt idx="2">
                  <c:v>29.166666666666668</c:v>
                </c:pt>
                <c:pt idx="3">
                  <c:v>31.250000000000004</c:v>
                </c:pt>
                <c:pt idx="4">
                  <c:v>33.333333333333336</c:v>
                </c:pt>
                <c:pt idx="5">
                  <c:v>35.416666666666671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2-4D28-9F8C-9C441F19D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3847616"/>
        <c:axId val="-983858688"/>
      </c:lineChart>
      <c:catAx>
        <c:axId val="-98384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3858688"/>
        <c:crosses val="autoZero"/>
        <c:auto val="1"/>
        <c:lblAlgn val="ctr"/>
        <c:lblOffset val="100"/>
        <c:noMultiLvlLbl val="0"/>
      </c:catAx>
      <c:valAx>
        <c:axId val="-98385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384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'[2]Annual Contracts'!$B$74</c:f>
              <c:strCache>
                <c:ptCount val="1"/>
                <c:pt idx="0">
                  <c:v>Win/Losss 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'[2]Annual Contracts'!$C$69:$I$69</c:f>
              <c:strCache>
                <c:ptCount val="7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</c:strCache>
            </c:strRef>
          </c:cat>
          <c:val>
            <c:numRef>
              <c:f>'[2]Annual Contracts'!$C$74:$I$74</c:f>
              <c:numCache>
                <c:formatCode>General</c:formatCode>
                <c:ptCount val="7"/>
                <c:pt idx="1">
                  <c:v>0.75</c:v>
                </c:pt>
                <c:pt idx="2">
                  <c:v>0.82</c:v>
                </c:pt>
                <c:pt idx="3">
                  <c:v>0.65</c:v>
                </c:pt>
                <c:pt idx="4">
                  <c:v>0.79</c:v>
                </c:pt>
                <c:pt idx="5">
                  <c:v>0.85</c:v>
                </c:pt>
                <c:pt idx="6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4-4700-8885-3878E9CB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84050736"/>
        <c:axId val="-983836096"/>
      </c:lineChart>
      <c:catAx>
        <c:axId val="-98405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3836096"/>
        <c:crosses val="autoZero"/>
        <c:auto val="1"/>
        <c:lblAlgn val="ctr"/>
        <c:lblOffset val="100"/>
        <c:noMultiLvlLbl val="0"/>
      </c:catAx>
      <c:valAx>
        <c:axId val="-9838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8405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'[1]Simple SaaS analysis'!$A$42</c:f>
              <c:strCache>
                <c:ptCount val="1"/>
                <c:pt idx="0">
                  <c:v>Cumulative Cash Flow</c:v>
                </c:pt>
              </c:strCache>
            </c:strRef>
          </c:tx>
          <c:invertIfNegative val="0"/>
          <c:cat>
            <c:strRef>
              <c:f>'[1]Simple SaaS analysis'!$B$35:$BI$35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analysis'!$B$42:$BI$42</c:f>
              <c:numCache>
                <c:formatCode>General</c:formatCode>
                <c:ptCount val="60"/>
                <c:pt idx="0">
                  <c:v>-55200</c:v>
                </c:pt>
                <c:pt idx="1">
                  <c:v>-116640</c:v>
                </c:pt>
                <c:pt idx="2">
                  <c:v>-183840</c:v>
                </c:pt>
                <c:pt idx="3">
                  <c:v>-255840</c:v>
                </c:pt>
                <c:pt idx="4">
                  <c:v>-331680</c:v>
                </c:pt>
                <c:pt idx="5">
                  <c:v>-410880</c:v>
                </c:pt>
                <c:pt idx="6">
                  <c:v>-492480</c:v>
                </c:pt>
                <c:pt idx="7">
                  <c:v>-576000</c:v>
                </c:pt>
                <c:pt idx="8">
                  <c:v>-660480</c:v>
                </c:pt>
                <c:pt idx="9">
                  <c:v>-745440</c:v>
                </c:pt>
                <c:pt idx="10">
                  <c:v>-829920</c:v>
                </c:pt>
                <c:pt idx="11">
                  <c:v>-913440</c:v>
                </c:pt>
                <c:pt idx="12">
                  <c:v>-995520</c:v>
                </c:pt>
                <c:pt idx="13">
                  <c:v>-1075200</c:v>
                </c:pt>
                <c:pt idx="14">
                  <c:v>-1152000</c:v>
                </c:pt>
                <c:pt idx="15">
                  <c:v>-1225440</c:v>
                </c:pt>
                <c:pt idx="16">
                  <c:v>-1295040</c:v>
                </c:pt>
                <c:pt idx="17">
                  <c:v>-1360320</c:v>
                </c:pt>
                <c:pt idx="18">
                  <c:v>-1420320</c:v>
                </c:pt>
                <c:pt idx="19">
                  <c:v>-1474560</c:v>
                </c:pt>
                <c:pt idx="20">
                  <c:v>-1522560</c:v>
                </c:pt>
                <c:pt idx="21">
                  <c:v>-1563840</c:v>
                </c:pt>
                <c:pt idx="22">
                  <c:v>-1597920</c:v>
                </c:pt>
                <c:pt idx="23">
                  <c:v>-1624320</c:v>
                </c:pt>
                <c:pt idx="24">
                  <c:v>-1642560</c:v>
                </c:pt>
                <c:pt idx="25">
                  <c:v>-1652160</c:v>
                </c:pt>
                <c:pt idx="26">
                  <c:v>-1652640</c:v>
                </c:pt>
                <c:pt idx="27">
                  <c:v>-1643520</c:v>
                </c:pt>
                <c:pt idx="28">
                  <c:v>-1624320</c:v>
                </c:pt>
                <c:pt idx="29">
                  <c:v>-1595040</c:v>
                </c:pt>
                <c:pt idx="30">
                  <c:v>-1555200</c:v>
                </c:pt>
                <c:pt idx="31">
                  <c:v>-1504320</c:v>
                </c:pt>
                <c:pt idx="32">
                  <c:v>-1441920</c:v>
                </c:pt>
                <c:pt idx="33">
                  <c:v>-1367520</c:v>
                </c:pt>
                <c:pt idx="34">
                  <c:v>-1281120</c:v>
                </c:pt>
                <c:pt idx="35">
                  <c:v>-1182240</c:v>
                </c:pt>
                <c:pt idx="36">
                  <c:v>-1070400</c:v>
                </c:pt>
                <c:pt idx="37">
                  <c:v>-945120</c:v>
                </c:pt>
                <c:pt idx="38">
                  <c:v>-806400</c:v>
                </c:pt>
                <c:pt idx="39">
                  <c:v>-653760</c:v>
                </c:pt>
                <c:pt idx="40">
                  <c:v>-486720</c:v>
                </c:pt>
                <c:pt idx="41">
                  <c:v>-305280</c:v>
                </c:pt>
                <c:pt idx="42">
                  <c:v>-108960</c:v>
                </c:pt>
                <c:pt idx="43">
                  <c:v>102240</c:v>
                </c:pt>
                <c:pt idx="44">
                  <c:v>328800</c:v>
                </c:pt>
                <c:pt idx="45">
                  <c:v>571200</c:v>
                </c:pt>
                <c:pt idx="46">
                  <c:v>829440</c:v>
                </c:pt>
                <c:pt idx="47">
                  <c:v>1104000</c:v>
                </c:pt>
                <c:pt idx="48">
                  <c:v>1394880</c:v>
                </c:pt>
                <c:pt idx="49">
                  <c:v>1702560</c:v>
                </c:pt>
                <c:pt idx="50">
                  <c:v>2027040</c:v>
                </c:pt>
                <c:pt idx="51">
                  <c:v>2368800</c:v>
                </c:pt>
                <c:pt idx="52">
                  <c:v>2727840</c:v>
                </c:pt>
                <c:pt idx="53">
                  <c:v>3104640</c:v>
                </c:pt>
                <c:pt idx="54">
                  <c:v>3499200</c:v>
                </c:pt>
                <c:pt idx="55">
                  <c:v>3912000</c:v>
                </c:pt>
                <c:pt idx="56">
                  <c:v>4343040</c:v>
                </c:pt>
                <c:pt idx="57">
                  <c:v>4792320</c:v>
                </c:pt>
                <c:pt idx="58">
                  <c:v>5260320</c:v>
                </c:pt>
                <c:pt idx="59">
                  <c:v>5747040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1-471F-8A46-6C1072B0D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1205966192"/>
        <c:axId val="-1206608432"/>
      </c:barChart>
      <c:catAx>
        <c:axId val="-120596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crossAx val="-1206608432"/>
        <c:crosses val="autoZero"/>
        <c:auto val="1"/>
        <c:lblAlgn val="ctr"/>
        <c:lblOffset val="100"/>
        <c:noMultiLvlLbl val="0"/>
      </c:catAx>
      <c:valAx>
        <c:axId val="-12066084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-1205966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Impact</a:t>
            </a:r>
            <a:r>
              <a:rPr lang="en-US" baseline="0"/>
              <a:t> of 'Months to Recover CAC' on Cash Flow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'[1]Simple SaaS analysis'!$A$107</c:f>
              <c:strCache>
                <c:ptCount val="1"/>
                <c:pt idx="0">
                  <c:v>Months to recover CAC: 6.3</c:v>
                </c:pt>
              </c:strCache>
            </c:strRef>
          </c:tx>
          <c:marker>
            <c:symbol val="none"/>
          </c:marker>
          <c:cat>
            <c:strRef>
              <c:f>'[1]Simple SaaS analysis'!$B$106:$BI$106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analysis'!$B$107:$BI$107</c:f>
              <c:numCache>
                <c:formatCode>General</c:formatCode>
                <c:ptCount val="60"/>
                <c:pt idx="0">
                  <c:v>-50400</c:v>
                </c:pt>
                <c:pt idx="1">
                  <c:v>-102240</c:v>
                </c:pt>
                <c:pt idx="2">
                  <c:v>-153600</c:v>
                </c:pt>
                <c:pt idx="3">
                  <c:v>-203520</c:v>
                </c:pt>
                <c:pt idx="4">
                  <c:v>-250080</c:v>
                </c:pt>
                <c:pt idx="5">
                  <c:v>-292320</c:v>
                </c:pt>
                <c:pt idx="6">
                  <c:v>-329280</c:v>
                </c:pt>
                <c:pt idx="7">
                  <c:v>-360000</c:v>
                </c:pt>
                <c:pt idx="8">
                  <c:v>-383520</c:v>
                </c:pt>
                <c:pt idx="9">
                  <c:v>-398880</c:v>
                </c:pt>
                <c:pt idx="10">
                  <c:v>-405120</c:v>
                </c:pt>
                <c:pt idx="11">
                  <c:v>-401280</c:v>
                </c:pt>
                <c:pt idx="12">
                  <c:v>-386400</c:v>
                </c:pt>
                <c:pt idx="13">
                  <c:v>-359520</c:v>
                </c:pt>
                <c:pt idx="14">
                  <c:v>-320640</c:v>
                </c:pt>
                <c:pt idx="15">
                  <c:v>-268800</c:v>
                </c:pt>
                <c:pt idx="16">
                  <c:v>-203040</c:v>
                </c:pt>
                <c:pt idx="17">
                  <c:v>-123360</c:v>
                </c:pt>
                <c:pt idx="18">
                  <c:v>-28800</c:v>
                </c:pt>
                <c:pt idx="19">
                  <c:v>81600</c:v>
                </c:pt>
                <c:pt idx="20">
                  <c:v>207840</c:v>
                </c:pt>
                <c:pt idx="21">
                  <c:v>350880</c:v>
                </c:pt>
                <c:pt idx="22">
                  <c:v>510720</c:v>
                </c:pt>
                <c:pt idx="23">
                  <c:v>688320</c:v>
                </c:pt>
                <c:pt idx="24">
                  <c:v>883680</c:v>
                </c:pt>
                <c:pt idx="25">
                  <c:v>1097760</c:v>
                </c:pt>
                <c:pt idx="26">
                  <c:v>1330560</c:v>
                </c:pt>
                <c:pt idx="27">
                  <c:v>1582080</c:v>
                </c:pt>
                <c:pt idx="28">
                  <c:v>1853280</c:v>
                </c:pt>
                <c:pt idx="29">
                  <c:v>2144160</c:v>
                </c:pt>
                <c:pt idx="30">
                  <c:v>2455680</c:v>
                </c:pt>
                <c:pt idx="31">
                  <c:v>2787840</c:v>
                </c:pt>
                <c:pt idx="32">
                  <c:v>3140640</c:v>
                </c:pt>
                <c:pt idx="33">
                  <c:v>3514080</c:v>
                </c:pt>
                <c:pt idx="34">
                  <c:v>3909120</c:v>
                </c:pt>
                <c:pt idx="35">
                  <c:v>4325760</c:v>
                </c:pt>
                <c:pt idx="36">
                  <c:v>4764000</c:v>
                </c:pt>
                <c:pt idx="37">
                  <c:v>5224800</c:v>
                </c:pt>
                <c:pt idx="38">
                  <c:v>5708160</c:v>
                </c:pt>
                <c:pt idx="39">
                  <c:v>6214080</c:v>
                </c:pt>
                <c:pt idx="40">
                  <c:v>6742560</c:v>
                </c:pt>
                <c:pt idx="41">
                  <c:v>7293600</c:v>
                </c:pt>
                <c:pt idx="42">
                  <c:v>7868160</c:v>
                </c:pt>
                <c:pt idx="43">
                  <c:v>8466240</c:v>
                </c:pt>
                <c:pt idx="44">
                  <c:v>9087840</c:v>
                </c:pt>
                <c:pt idx="45">
                  <c:v>9732960</c:v>
                </c:pt>
                <c:pt idx="46">
                  <c:v>10401600</c:v>
                </c:pt>
                <c:pt idx="47">
                  <c:v>11093760</c:v>
                </c:pt>
                <c:pt idx="48">
                  <c:v>11809440</c:v>
                </c:pt>
                <c:pt idx="49">
                  <c:v>12549600</c:v>
                </c:pt>
                <c:pt idx="50">
                  <c:v>13314240</c:v>
                </c:pt>
                <c:pt idx="51">
                  <c:v>14103360</c:v>
                </c:pt>
                <c:pt idx="52">
                  <c:v>14916960</c:v>
                </c:pt>
                <c:pt idx="53">
                  <c:v>15755040</c:v>
                </c:pt>
                <c:pt idx="54">
                  <c:v>16617600</c:v>
                </c:pt>
                <c:pt idx="55">
                  <c:v>17504640</c:v>
                </c:pt>
                <c:pt idx="56">
                  <c:v>18416160</c:v>
                </c:pt>
                <c:pt idx="57">
                  <c:v>19352160</c:v>
                </c:pt>
                <c:pt idx="58">
                  <c:v>20312640</c:v>
                </c:pt>
                <c:pt idx="59">
                  <c:v>21298560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7A1-8EBE-96D334664B1C}"/>
            </c:ext>
          </c:extLst>
        </c:ser>
        <c:ser>
          <c:idx val="1"/>
          <c:order val="1"/>
          <c:tx>
            <c:strRef>
              <c:f>'[1]Simple SaaS analysis'!$A$108</c:f>
              <c:strCache>
                <c:ptCount val="1"/>
                <c:pt idx="0">
                  <c:v>Months to recover CAC: 12.5</c:v>
                </c:pt>
              </c:strCache>
            </c:strRef>
          </c:tx>
          <c:marker>
            <c:symbol val="none"/>
          </c:marker>
          <c:cat>
            <c:strRef>
              <c:f>'[1]Simple SaaS analysis'!$B$106:$BI$106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analysis'!$B$108:$BI$108</c:f>
              <c:numCache>
                <c:formatCode>General</c:formatCode>
                <c:ptCount val="60"/>
                <c:pt idx="0">
                  <c:v>-55200</c:v>
                </c:pt>
                <c:pt idx="1">
                  <c:v>-116640</c:v>
                </c:pt>
                <c:pt idx="2">
                  <c:v>-183840</c:v>
                </c:pt>
                <c:pt idx="3">
                  <c:v>-255840</c:v>
                </c:pt>
                <c:pt idx="4">
                  <c:v>-331680</c:v>
                </c:pt>
                <c:pt idx="5">
                  <c:v>-410880</c:v>
                </c:pt>
                <c:pt idx="6">
                  <c:v>-492480</c:v>
                </c:pt>
                <c:pt idx="7">
                  <c:v>-576000</c:v>
                </c:pt>
                <c:pt idx="8">
                  <c:v>-660480</c:v>
                </c:pt>
                <c:pt idx="9">
                  <c:v>-745440</c:v>
                </c:pt>
                <c:pt idx="10">
                  <c:v>-829920</c:v>
                </c:pt>
                <c:pt idx="11">
                  <c:v>-913440</c:v>
                </c:pt>
                <c:pt idx="12">
                  <c:v>-995520</c:v>
                </c:pt>
                <c:pt idx="13">
                  <c:v>-1075200</c:v>
                </c:pt>
                <c:pt idx="14">
                  <c:v>-1152000</c:v>
                </c:pt>
                <c:pt idx="15">
                  <c:v>-1225440</c:v>
                </c:pt>
                <c:pt idx="16">
                  <c:v>-1295040</c:v>
                </c:pt>
                <c:pt idx="17">
                  <c:v>-1360320</c:v>
                </c:pt>
                <c:pt idx="18">
                  <c:v>-1420320</c:v>
                </c:pt>
                <c:pt idx="19">
                  <c:v>-1474560</c:v>
                </c:pt>
                <c:pt idx="20">
                  <c:v>-1522560</c:v>
                </c:pt>
                <c:pt idx="21">
                  <c:v>-1563840</c:v>
                </c:pt>
                <c:pt idx="22">
                  <c:v>-1597920</c:v>
                </c:pt>
                <c:pt idx="23">
                  <c:v>-1624320</c:v>
                </c:pt>
                <c:pt idx="24">
                  <c:v>-1642560</c:v>
                </c:pt>
                <c:pt idx="25">
                  <c:v>-1652160</c:v>
                </c:pt>
                <c:pt idx="26">
                  <c:v>-1652640</c:v>
                </c:pt>
                <c:pt idx="27">
                  <c:v>-1643520</c:v>
                </c:pt>
                <c:pt idx="28">
                  <c:v>-1624320</c:v>
                </c:pt>
                <c:pt idx="29">
                  <c:v>-1595040</c:v>
                </c:pt>
                <c:pt idx="30">
                  <c:v>-1555200</c:v>
                </c:pt>
                <c:pt idx="31">
                  <c:v>-1504320</c:v>
                </c:pt>
                <c:pt idx="32">
                  <c:v>-1441920</c:v>
                </c:pt>
                <c:pt idx="33">
                  <c:v>-1367520</c:v>
                </c:pt>
                <c:pt idx="34">
                  <c:v>-1281120</c:v>
                </c:pt>
                <c:pt idx="35">
                  <c:v>-1182240</c:v>
                </c:pt>
                <c:pt idx="36">
                  <c:v>-1070400</c:v>
                </c:pt>
                <c:pt idx="37">
                  <c:v>-945120</c:v>
                </c:pt>
                <c:pt idx="38">
                  <c:v>-806400</c:v>
                </c:pt>
                <c:pt idx="39">
                  <c:v>-653760</c:v>
                </c:pt>
                <c:pt idx="40">
                  <c:v>-486720</c:v>
                </c:pt>
                <c:pt idx="41">
                  <c:v>-305280</c:v>
                </c:pt>
                <c:pt idx="42">
                  <c:v>-108960</c:v>
                </c:pt>
                <c:pt idx="43">
                  <c:v>102240</c:v>
                </c:pt>
                <c:pt idx="44">
                  <c:v>328800</c:v>
                </c:pt>
                <c:pt idx="45">
                  <c:v>571200</c:v>
                </c:pt>
                <c:pt idx="46">
                  <c:v>829440</c:v>
                </c:pt>
                <c:pt idx="47">
                  <c:v>1104000</c:v>
                </c:pt>
                <c:pt idx="48">
                  <c:v>1394880</c:v>
                </c:pt>
                <c:pt idx="49">
                  <c:v>1702560</c:v>
                </c:pt>
                <c:pt idx="50">
                  <c:v>2027040</c:v>
                </c:pt>
                <c:pt idx="51">
                  <c:v>2368800</c:v>
                </c:pt>
                <c:pt idx="52">
                  <c:v>2727840</c:v>
                </c:pt>
                <c:pt idx="53">
                  <c:v>3104640</c:v>
                </c:pt>
                <c:pt idx="54">
                  <c:v>3499200</c:v>
                </c:pt>
                <c:pt idx="55">
                  <c:v>3912000</c:v>
                </c:pt>
                <c:pt idx="56">
                  <c:v>4343040</c:v>
                </c:pt>
                <c:pt idx="57">
                  <c:v>4792320</c:v>
                </c:pt>
                <c:pt idx="58">
                  <c:v>5260320</c:v>
                </c:pt>
                <c:pt idx="59">
                  <c:v>5747040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7A1-8EBE-96D334664B1C}"/>
            </c:ext>
          </c:extLst>
        </c:ser>
        <c:ser>
          <c:idx val="2"/>
          <c:order val="2"/>
          <c:tx>
            <c:strRef>
              <c:f>'[1]Simple SaaS analysis'!$A$109</c:f>
              <c:strCache>
                <c:ptCount val="1"/>
                <c:pt idx="0">
                  <c:v>Months to recover CAC: 18.8</c:v>
                </c:pt>
              </c:strCache>
            </c:strRef>
          </c:tx>
          <c:marker>
            <c:symbol val="none"/>
          </c:marker>
          <c:cat>
            <c:strRef>
              <c:f>'[1]Simple SaaS analysis'!$B$106:$BI$106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analysis'!$B$109:$BI$109</c:f>
              <c:numCache>
                <c:formatCode>General</c:formatCode>
                <c:ptCount val="60"/>
                <c:pt idx="0">
                  <c:v>-56800</c:v>
                </c:pt>
                <c:pt idx="1">
                  <c:v>-121760</c:v>
                </c:pt>
                <c:pt idx="2">
                  <c:v>-194240</c:v>
                </c:pt>
                <c:pt idx="3">
                  <c:v>-273920</c:v>
                </c:pt>
                <c:pt idx="4">
                  <c:v>-360160</c:v>
                </c:pt>
                <c:pt idx="5">
                  <c:v>-452320</c:v>
                </c:pt>
                <c:pt idx="6">
                  <c:v>-549760</c:v>
                </c:pt>
                <c:pt idx="7">
                  <c:v>-652160</c:v>
                </c:pt>
                <c:pt idx="8">
                  <c:v>-758880</c:v>
                </c:pt>
                <c:pt idx="9">
                  <c:v>-869600</c:v>
                </c:pt>
                <c:pt idx="10">
                  <c:v>-983680</c:v>
                </c:pt>
                <c:pt idx="11">
                  <c:v>-1100480</c:v>
                </c:pt>
                <c:pt idx="12">
                  <c:v>-1219680</c:v>
                </c:pt>
                <c:pt idx="13">
                  <c:v>-1340640</c:v>
                </c:pt>
                <c:pt idx="14">
                  <c:v>-1463040</c:v>
                </c:pt>
                <c:pt idx="15">
                  <c:v>-1586560</c:v>
                </c:pt>
                <c:pt idx="16">
                  <c:v>-1710560</c:v>
                </c:pt>
                <c:pt idx="17">
                  <c:v>-1834720</c:v>
                </c:pt>
                <c:pt idx="18">
                  <c:v>-1958400</c:v>
                </c:pt>
                <c:pt idx="19">
                  <c:v>-2081280</c:v>
                </c:pt>
                <c:pt idx="20">
                  <c:v>-2203040</c:v>
                </c:pt>
                <c:pt idx="21">
                  <c:v>-2323040</c:v>
                </c:pt>
                <c:pt idx="22">
                  <c:v>-2440960</c:v>
                </c:pt>
                <c:pt idx="23">
                  <c:v>-2556480</c:v>
                </c:pt>
                <c:pt idx="24">
                  <c:v>-2669280</c:v>
                </c:pt>
                <c:pt idx="25">
                  <c:v>-2778720</c:v>
                </c:pt>
                <c:pt idx="26">
                  <c:v>-2884480</c:v>
                </c:pt>
                <c:pt idx="27">
                  <c:v>-2986240</c:v>
                </c:pt>
                <c:pt idx="28">
                  <c:v>-3083680</c:v>
                </c:pt>
                <c:pt idx="29">
                  <c:v>-3176480</c:v>
                </c:pt>
                <c:pt idx="30">
                  <c:v>-3264000</c:v>
                </c:pt>
                <c:pt idx="31">
                  <c:v>-3345920</c:v>
                </c:pt>
                <c:pt idx="32">
                  <c:v>-3421920</c:v>
                </c:pt>
                <c:pt idx="33">
                  <c:v>-3491680</c:v>
                </c:pt>
                <c:pt idx="34">
                  <c:v>-3554880</c:v>
                </c:pt>
                <c:pt idx="35">
                  <c:v>-3611200</c:v>
                </c:pt>
                <c:pt idx="36">
                  <c:v>-3660320</c:v>
                </c:pt>
                <c:pt idx="37">
                  <c:v>-3701920</c:v>
                </c:pt>
                <c:pt idx="38">
                  <c:v>-3735680</c:v>
                </c:pt>
                <c:pt idx="39">
                  <c:v>-3761280</c:v>
                </c:pt>
                <c:pt idx="40">
                  <c:v>-3778400</c:v>
                </c:pt>
                <c:pt idx="41">
                  <c:v>-3786720</c:v>
                </c:pt>
                <c:pt idx="42">
                  <c:v>-3785920</c:v>
                </c:pt>
                <c:pt idx="43">
                  <c:v>-3775680</c:v>
                </c:pt>
                <c:pt idx="44">
                  <c:v>-3756000</c:v>
                </c:pt>
                <c:pt idx="45">
                  <c:v>-3726560</c:v>
                </c:pt>
                <c:pt idx="46">
                  <c:v>-3687040</c:v>
                </c:pt>
                <c:pt idx="47">
                  <c:v>-3637120</c:v>
                </c:pt>
                <c:pt idx="48">
                  <c:v>-3576480</c:v>
                </c:pt>
                <c:pt idx="49">
                  <c:v>-3504800</c:v>
                </c:pt>
                <c:pt idx="50">
                  <c:v>-3422080</c:v>
                </c:pt>
                <c:pt idx="51">
                  <c:v>-3328000</c:v>
                </c:pt>
                <c:pt idx="52">
                  <c:v>-3222240</c:v>
                </c:pt>
                <c:pt idx="53">
                  <c:v>-3104480</c:v>
                </c:pt>
                <c:pt idx="54">
                  <c:v>-2974400</c:v>
                </c:pt>
                <c:pt idx="55">
                  <c:v>-2832000</c:v>
                </c:pt>
                <c:pt idx="56">
                  <c:v>-2676960</c:v>
                </c:pt>
                <c:pt idx="57">
                  <c:v>-2508960</c:v>
                </c:pt>
                <c:pt idx="58">
                  <c:v>-2328000</c:v>
                </c:pt>
                <c:pt idx="59">
                  <c:v>-2133760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F-47A1-8EBE-96D334664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06192000"/>
        <c:axId val="-1206581664"/>
      </c:lineChart>
      <c:catAx>
        <c:axId val="-1206192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baseline="0">
                <a:solidFill>
                  <a:schemeClr val="bg2">
                    <a:lumMod val="50000"/>
                  </a:schemeClr>
                </a:solidFill>
              </a:defRPr>
            </a:pPr>
            <a:endParaRPr lang="en-US"/>
          </a:p>
        </c:txPr>
        <c:crossAx val="-1206581664"/>
        <c:crosses val="autoZero"/>
        <c:auto val="1"/>
        <c:lblAlgn val="ctr"/>
        <c:lblOffset val="100"/>
        <c:tickLblSkip val="6"/>
        <c:noMultiLvlLbl val="0"/>
      </c:catAx>
      <c:valAx>
        <c:axId val="-12065816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-1206192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Cohort Performance</a:t>
            </a:r>
            <a:endParaRPr lang="en-US" sz="1600" baseline="0"/>
          </a:p>
          <a:p>
            <a:pPr>
              <a:defRPr sz="1600"/>
            </a:pPr>
            <a:r>
              <a:rPr lang="en-US" sz="1600"/>
              <a:t>Monthly Churn = </a:t>
            </a:r>
            <a:r>
              <a:rPr lang="en-US" sz="1600" b="1" i="0" u="none" strike="noStrike" baseline="0">
                <a:effectLst/>
              </a:rPr>
              <a:t>Current Value</a:t>
            </a:r>
            <a:endParaRPr lang="en-US" sz="1600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'[1]Simple SaaS analysis'!$A$146</c:f>
              <c:strCache>
                <c:ptCount val="1"/>
                <c:pt idx="0">
                  <c:v>Cohort 1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analysis'!$B$146:$AO$146</c:f>
              <c:numCache>
                <c:formatCode>General</c:formatCode>
                <c:ptCount val="40"/>
                <c:pt idx="0">
                  <c:v>6000</c:v>
                </c:pt>
                <c:pt idx="1">
                  <c:v>5850</c:v>
                </c:pt>
                <c:pt idx="2">
                  <c:v>5703.75</c:v>
                </c:pt>
                <c:pt idx="3">
                  <c:v>5561.15625</c:v>
                </c:pt>
                <c:pt idx="4">
                  <c:v>5422.1273437499995</c:v>
                </c:pt>
                <c:pt idx="5">
                  <c:v>5286.5741601562495</c:v>
                </c:pt>
                <c:pt idx="6">
                  <c:v>5154.4098061523428</c:v>
                </c:pt>
                <c:pt idx="7">
                  <c:v>5025.5495609985337</c:v>
                </c:pt>
                <c:pt idx="8">
                  <c:v>4899.9108219735699</c:v>
                </c:pt>
                <c:pt idx="9">
                  <c:v>4777.4130514242306</c:v>
                </c:pt>
                <c:pt idx="10">
                  <c:v>4657.9777251386249</c:v>
                </c:pt>
                <c:pt idx="11">
                  <c:v>4541.5282820101593</c:v>
                </c:pt>
                <c:pt idx="12">
                  <c:v>4427.9900749599055</c:v>
                </c:pt>
                <c:pt idx="13">
                  <c:v>4317.2903230859074</c:v>
                </c:pt>
                <c:pt idx="14">
                  <c:v>4209.3580650087597</c:v>
                </c:pt>
                <c:pt idx="15">
                  <c:v>4104.124113383541</c:v>
                </c:pt>
                <c:pt idx="16">
                  <c:v>4001.5210105489523</c:v>
                </c:pt>
                <c:pt idx="17">
                  <c:v>3901.4829852852286</c:v>
                </c:pt>
                <c:pt idx="18">
                  <c:v>3803.9459106530976</c:v>
                </c:pt>
                <c:pt idx="19">
                  <c:v>3708.8472628867703</c:v>
                </c:pt>
                <c:pt idx="20">
                  <c:v>3616.1260813146009</c:v>
                </c:pt>
                <c:pt idx="21">
                  <c:v>3525.722929281736</c:v>
                </c:pt>
                <c:pt idx="22">
                  <c:v>3437.5798560496924</c:v>
                </c:pt>
                <c:pt idx="23">
                  <c:v>3351.6403596484502</c:v>
                </c:pt>
                <c:pt idx="24">
                  <c:v>3267.849350657239</c:v>
                </c:pt>
                <c:pt idx="25">
                  <c:v>3186.1531168908082</c:v>
                </c:pt>
                <c:pt idx="26">
                  <c:v>3106.4992889685377</c:v>
                </c:pt>
                <c:pt idx="27">
                  <c:v>3028.8368067443243</c:v>
                </c:pt>
                <c:pt idx="28">
                  <c:v>2953.1158865757161</c:v>
                </c:pt>
                <c:pt idx="29">
                  <c:v>2879.287989411323</c:v>
                </c:pt>
                <c:pt idx="30">
                  <c:v>2807.3057896760397</c:v>
                </c:pt>
                <c:pt idx="31">
                  <c:v>2737.1231449341385</c:v>
                </c:pt>
                <c:pt idx="32">
                  <c:v>2668.695066310785</c:v>
                </c:pt>
                <c:pt idx="33">
                  <c:v>2601.9776896530152</c:v>
                </c:pt>
                <c:pt idx="34">
                  <c:v>2536.9282474116899</c:v>
                </c:pt>
                <c:pt idx="35">
                  <c:v>2473.5050412263977</c:v>
                </c:pt>
                <c:pt idx="36">
                  <c:v>2411.6674151957377</c:v>
                </c:pt>
                <c:pt idx="37">
                  <c:v>2351.3757298158444</c:v>
                </c:pt>
                <c:pt idx="38">
                  <c:v>2292.5913365704482</c:v>
                </c:pt>
                <c:pt idx="39">
                  <c:v>2235.2765531561868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F-4C9C-B7A7-39934683D7EA}"/>
            </c:ext>
          </c:extLst>
        </c:ser>
        <c:ser>
          <c:idx val="1"/>
          <c:order val="1"/>
          <c:tx>
            <c:strRef>
              <c:f>'[1]Simple SaaS analysis'!$A$147</c:f>
              <c:strCache>
                <c:ptCount val="1"/>
                <c:pt idx="0">
                  <c:v>Cohort 2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analysis'!$B$147:$AO$147</c:f>
              <c:numCache>
                <c:formatCode>General</c:formatCode>
                <c:ptCount val="40"/>
                <c:pt idx="1">
                  <c:v>6000</c:v>
                </c:pt>
                <c:pt idx="2">
                  <c:v>5850</c:v>
                </c:pt>
                <c:pt idx="3">
                  <c:v>5703.75</c:v>
                </c:pt>
                <c:pt idx="4">
                  <c:v>5561.15625</c:v>
                </c:pt>
                <c:pt idx="5">
                  <c:v>5422.1273437499995</c:v>
                </c:pt>
                <c:pt idx="6">
                  <c:v>5286.5741601562495</c:v>
                </c:pt>
                <c:pt idx="7">
                  <c:v>5154.4098061523428</c:v>
                </c:pt>
                <c:pt idx="8">
                  <c:v>5025.5495609985337</c:v>
                </c:pt>
                <c:pt idx="9">
                  <c:v>4899.9108219735699</c:v>
                </c:pt>
                <c:pt idx="10">
                  <c:v>4777.4130514242306</c:v>
                </c:pt>
                <c:pt idx="11">
                  <c:v>4657.9777251386249</c:v>
                </c:pt>
                <c:pt idx="12">
                  <c:v>4541.5282820101593</c:v>
                </c:pt>
                <c:pt idx="13">
                  <c:v>4427.9900749599055</c:v>
                </c:pt>
                <c:pt idx="14">
                  <c:v>4317.2903230859074</c:v>
                </c:pt>
                <c:pt idx="15">
                  <c:v>4209.3580650087597</c:v>
                </c:pt>
                <c:pt idx="16">
                  <c:v>4104.124113383541</c:v>
                </c:pt>
                <c:pt idx="17">
                  <c:v>4001.5210105489523</c:v>
                </c:pt>
                <c:pt idx="18">
                  <c:v>3901.4829852852286</c:v>
                </c:pt>
                <c:pt idx="19">
                  <c:v>3803.9459106530976</c:v>
                </c:pt>
                <c:pt idx="20">
                  <c:v>3708.8472628867703</c:v>
                </c:pt>
                <c:pt idx="21">
                  <c:v>3616.1260813146009</c:v>
                </c:pt>
                <c:pt idx="22">
                  <c:v>3525.722929281736</c:v>
                </c:pt>
                <c:pt idx="23">
                  <c:v>3437.5798560496924</c:v>
                </c:pt>
                <c:pt idx="24">
                  <c:v>3351.6403596484502</c:v>
                </c:pt>
                <c:pt idx="25">
                  <c:v>3267.849350657239</c:v>
                </c:pt>
                <c:pt idx="26">
                  <c:v>3186.1531168908082</c:v>
                </c:pt>
                <c:pt idx="27">
                  <c:v>3106.4992889685377</c:v>
                </c:pt>
                <c:pt idx="28">
                  <c:v>3028.8368067443243</c:v>
                </c:pt>
                <c:pt idx="29">
                  <c:v>2953.1158865757161</c:v>
                </c:pt>
                <c:pt idx="30">
                  <c:v>2879.287989411323</c:v>
                </c:pt>
                <c:pt idx="31">
                  <c:v>2807.3057896760397</c:v>
                </c:pt>
                <c:pt idx="32">
                  <c:v>2737.1231449341385</c:v>
                </c:pt>
                <c:pt idx="33">
                  <c:v>2668.695066310785</c:v>
                </c:pt>
                <c:pt idx="34">
                  <c:v>2601.9776896530152</c:v>
                </c:pt>
                <c:pt idx="35">
                  <c:v>2536.9282474116899</c:v>
                </c:pt>
                <c:pt idx="36">
                  <c:v>2473.5050412263977</c:v>
                </c:pt>
                <c:pt idx="37">
                  <c:v>2411.6674151957377</c:v>
                </c:pt>
                <c:pt idx="38">
                  <c:v>2351.3757298158444</c:v>
                </c:pt>
                <c:pt idx="39">
                  <c:v>2292.5913365704482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F-4C9C-B7A7-39934683D7EA}"/>
            </c:ext>
          </c:extLst>
        </c:ser>
        <c:ser>
          <c:idx val="2"/>
          <c:order val="2"/>
          <c:tx>
            <c:strRef>
              <c:f>'[1]Simple SaaS analysis'!$A$148</c:f>
              <c:strCache>
                <c:ptCount val="1"/>
                <c:pt idx="0">
                  <c:v>Cohort 3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analysis'!$B$148:$AO$148</c:f>
              <c:numCache>
                <c:formatCode>General</c:formatCode>
                <c:ptCount val="40"/>
                <c:pt idx="2">
                  <c:v>6000</c:v>
                </c:pt>
                <c:pt idx="3">
                  <c:v>5850</c:v>
                </c:pt>
                <c:pt idx="4">
                  <c:v>5703.75</c:v>
                </c:pt>
                <c:pt idx="5">
                  <c:v>5561.15625</c:v>
                </c:pt>
                <c:pt idx="6">
                  <c:v>5422.1273437499995</c:v>
                </c:pt>
                <c:pt idx="7">
                  <c:v>5286.5741601562495</c:v>
                </c:pt>
                <c:pt idx="8">
                  <c:v>5154.4098061523428</c:v>
                </c:pt>
                <c:pt idx="9">
                  <c:v>5025.5495609985337</c:v>
                </c:pt>
                <c:pt idx="10">
                  <c:v>4899.9108219735699</c:v>
                </c:pt>
                <c:pt idx="11">
                  <c:v>4777.4130514242306</c:v>
                </c:pt>
                <c:pt idx="12">
                  <c:v>4657.9777251386249</c:v>
                </c:pt>
                <c:pt idx="13">
                  <c:v>4541.5282820101593</c:v>
                </c:pt>
                <c:pt idx="14">
                  <c:v>4427.9900749599055</c:v>
                </c:pt>
                <c:pt idx="15">
                  <c:v>4317.2903230859074</c:v>
                </c:pt>
                <c:pt idx="16">
                  <c:v>4209.3580650087597</c:v>
                </c:pt>
                <c:pt idx="17">
                  <c:v>4104.124113383541</c:v>
                </c:pt>
                <c:pt idx="18">
                  <c:v>4001.5210105489523</c:v>
                </c:pt>
                <c:pt idx="19">
                  <c:v>3901.4829852852286</c:v>
                </c:pt>
                <c:pt idx="20">
                  <c:v>3803.9459106530976</c:v>
                </c:pt>
                <c:pt idx="21">
                  <c:v>3708.8472628867703</c:v>
                </c:pt>
                <c:pt idx="22">
                  <c:v>3616.1260813146009</c:v>
                </c:pt>
                <c:pt idx="23">
                  <c:v>3525.722929281736</c:v>
                </c:pt>
                <c:pt idx="24">
                  <c:v>3437.5798560496924</c:v>
                </c:pt>
                <c:pt idx="25">
                  <c:v>3351.6403596484502</c:v>
                </c:pt>
                <c:pt idx="26">
                  <c:v>3267.849350657239</c:v>
                </c:pt>
                <c:pt idx="27">
                  <c:v>3186.1531168908082</c:v>
                </c:pt>
                <c:pt idx="28">
                  <c:v>3106.4992889685377</c:v>
                </c:pt>
                <c:pt idx="29">
                  <c:v>3028.8368067443243</c:v>
                </c:pt>
                <c:pt idx="30">
                  <c:v>2953.1158865757161</c:v>
                </c:pt>
                <c:pt idx="31">
                  <c:v>2879.287989411323</c:v>
                </c:pt>
                <c:pt idx="32">
                  <c:v>2807.3057896760397</c:v>
                </c:pt>
                <c:pt idx="33">
                  <c:v>2737.1231449341385</c:v>
                </c:pt>
                <c:pt idx="34">
                  <c:v>2668.695066310785</c:v>
                </c:pt>
                <c:pt idx="35">
                  <c:v>2601.9776896530152</c:v>
                </c:pt>
                <c:pt idx="36">
                  <c:v>2536.9282474116899</c:v>
                </c:pt>
                <c:pt idx="37">
                  <c:v>2473.5050412263977</c:v>
                </c:pt>
                <c:pt idx="38">
                  <c:v>2411.6674151957377</c:v>
                </c:pt>
                <c:pt idx="39">
                  <c:v>2351.3757298158444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8F-4C9C-B7A7-39934683D7EA}"/>
            </c:ext>
          </c:extLst>
        </c:ser>
        <c:ser>
          <c:idx val="3"/>
          <c:order val="3"/>
          <c:tx>
            <c:strRef>
              <c:f>'[1]Simple SaaS analysis'!$A$149</c:f>
              <c:strCache>
                <c:ptCount val="1"/>
                <c:pt idx="0">
                  <c:v>Cohort 4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analysis'!$B$149:$AO$149</c:f>
              <c:numCache>
                <c:formatCode>General</c:formatCode>
                <c:ptCount val="40"/>
                <c:pt idx="3">
                  <c:v>6000</c:v>
                </c:pt>
                <c:pt idx="4">
                  <c:v>5850</c:v>
                </c:pt>
                <c:pt idx="5">
                  <c:v>5703.75</c:v>
                </c:pt>
                <c:pt idx="6">
                  <c:v>5561.15625</c:v>
                </c:pt>
                <c:pt idx="7">
                  <c:v>5422.1273437499995</c:v>
                </c:pt>
                <c:pt idx="8">
                  <c:v>5286.5741601562495</c:v>
                </c:pt>
                <c:pt idx="9">
                  <c:v>5154.4098061523428</c:v>
                </c:pt>
                <c:pt idx="10">
                  <c:v>5025.5495609985337</c:v>
                </c:pt>
                <c:pt idx="11">
                  <c:v>4899.9108219735699</c:v>
                </c:pt>
                <c:pt idx="12">
                  <c:v>4777.4130514242306</c:v>
                </c:pt>
                <c:pt idx="13">
                  <c:v>4657.9777251386249</c:v>
                </c:pt>
                <c:pt idx="14">
                  <c:v>4541.5282820101593</c:v>
                </c:pt>
                <c:pt idx="15">
                  <c:v>4427.9900749599055</c:v>
                </c:pt>
                <c:pt idx="16">
                  <c:v>4317.2903230859074</c:v>
                </c:pt>
                <c:pt idx="17">
                  <c:v>4209.3580650087597</c:v>
                </c:pt>
                <c:pt idx="18">
                  <c:v>4104.124113383541</c:v>
                </c:pt>
                <c:pt idx="19">
                  <c:v>4001.5210105489523</c:v>
                </c:pt>
                <c:pt idx="20">
                  <c:v>3901.4829852852286</c:v>
                </c:pt>
                <c:pt idx="21">
                  <c:v>3803.9459106530976</c:v>
                </c:pt>
                <c:pt idx="22">
                  <c:v>3708.8472628867703</c:v>
                </c:pt>
                <c:pt idx="23">
                  <c:v>3616.1260813146009</c:v>
                </c:pt>
                <c:pt idx="24">
                  <c:v>3525.722929281736</c:v>
                </c:pt>
                <c:pt idx="25">
                  <c:v>3437.5798560496924</c:v>
                </c:pt>
                <c:pt idx="26">
                  <c:v>3351.6403596484502</c:v>
                </c:pt>
                <c:pt idx="27">
                  <c:v>3267.849350657239</c:v>
                </c:pt>
                <c:pt idx="28">
                  <c:v>3186.1531168908082</c:v>
                </c:pt>
                <c:pt idx="29">
                  <c:v>3106.4992889685377</c:v>
                </c:pt>
                <c:pt idx="30">
                  <c:v>3028.8368067443243</c:v>
                </c:pt>
                <c:pt idx="31">
                  <c:v>2953.1158865757161</c:v>
                </c:pt>
                <c:pt idx="32">
                  <c:v>2879.287989411323</c:v>
                </c:pt>
                <c:pt idx="33">
                  <c:v>2807.3057896760397</c:v>
                </c:pt>
                <c:pt idx="34">
                  <c:v>2737.1231449341385</c:v>
                </c:pt>
                <c:pt idx="35">
                  <c:v>2668.695066310785</c:v>
                </c:pt>
                <c:pt idx="36">
                  <c:v>2601.9776896530152</c:v>
                </c:pt>
                <c:pt idx="37">
                  <c:v>2536.9282474116899</c:v>
                </c:pt>
                <c:pt idx="38">
                  <c:v>2473.5050412263977</c:v>
                </c:pt>
                <c:pt idx="39">
                  <c:v>2411.6674151957377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8F-4C9C-B7A7-39934683D7EA}"/>
            </c:ext>
          </c:extLst>
        </c:ser>
        <c:ser>
          <c:idx val="4"/>
          <c:order val="4"/>
          <c:tx>
            <c:strRef>
              <c:f>'[1]Simple SaaS analysis'!$A$150</c:f>
              <c:strCache>
                <c:ptCount val="1"/>
                <c:pt idx="0">
                  <c:v>Cohort 5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analysis'!$B$150:$AO$150</c:f>
              <c:numCache>
                <c:formatCode>General</c:formatCode>
                <c:ptCount val="40"/>
                <c:pt idx="4">
                  <c:v>6000</c:v>
                </c:pt>
                <c:pt idx="5">
                  <c:v>5850</c:v>
                </c:pt>
                <c:pt idx="6">
                  <c:v>5703.75</c:v>
                </c:pt>
                <c:pt idx="7">
                  <c:v>5561.15625</c:v>
                </c:pt>
                <c:pt idx="8">
                  <c:v>5422.1273437499995</c:v>
                </c:pt>
                <c:pt idx="9">
                  <c:v>5286.5741601562495</c:v>
                </c:pt>
                <c:pt idx="10">
                  <c:v>5154.4098061523428</c:v>
                </c:pt>
                <c:pt idx="11">
                  <c:v>5025.5495609985337</c:v>
                </c:pt>
                <c:pt idx="12">
                  <c:v>4899.9108219735699</c:v>
                </c:pt>
                <c:pt idx="13">
                  <c:v>4777.4130514242306</c:v>
                </c:pt>
                <c:pt idx="14">
                  <c:v>4657.9777251386249</c:v>
                </c:pt>
                <c:pt idx="15">
                  <c:v>4541.5282820101593</c:v>
                </c:pt>
                <c:pt idx="16">
                  <c:v>4427.9900749599055</c:v>
                </c:pt>
                <c:pt idx="17">
                  <c:v>4317.2903230859074</c:v>
                </c:pt>
                <c:pt idx="18">
                  <c:v>4209.3580650087597</c:v>
                </c:pt>
                <c:pt idx="19">
                  <c:v>4104.124113383541</c:v>
                </c:pt>
                <c:pt idx="20">
                  <c:v>4001.5210105489523</c:v>
                </c:pt>
                <c:pt idx="21">
                  <c:v>3901.4829852852286</c:v>
                </c:pt>
                <c:pt idx="22">
                  <c:v>3803.9459106530976</c:v>
                </c:pt>
                <c:pt idx="23">
                  <c:v>3708.8472628867703</c:v>
                </c:pt>
                <c:pt idx="24">
                  <c:v>3616.1260813146009</c:v>
                </c:pt>
                <c:pt idx="25">
                  <c:v>3525.722929281736</c:v>
                </c:pt>
                <c:pt idx="26">
                  <c:v>3437.5798560496924</c:v>
                </c:pt>
                <c:pt idx="27">
                  <c:v>3351.6403596484502</c:v>
                </c:pt>
                <c:pt idx="28">
                  <c:v>3267.849350657239</c:v>
                </c:pt>
                <c:pt idx="29">
                  <c:v>3186.1531168908082</c:v>
                </c:pt>
                <c:pt idx="30">
                  <c:v>3106.4992889685377</c:v>
                </c:pt>
                <c:pt idx="31">
                  <c:v>3028.8368067443243</c:v>
                </c:pt>
                <c:pt idx="32">
                  <c:v>2953.1158865757161</c:v>
                </c:pt>
                <c:pt idx="33">
                  <c:v>2879.287989411323</c:v>
                </c:pt>
                <c:pt idx="34">
                  <c:v>2807.3057896760397</c:v>
                </c:pt>
                <c:pt idx="35">
                  <c:v>2737.1231449341385</c:v>
                </c:pt>
                <c:pt idx="36">
                  <c:v>2668.695066310785</c:v>
                </c:pt>
                <c:pt idx="37">
                  <c:v>2601.9776896530152</c:v>
                </c:pt>
                <c:pt idx="38">
                  <c:v>2536.9282474116899</c:v>
                </c:pt>
                <c:pt idx="39">
                  <c:v>2473.5050412263977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8F-4C9C-B7A7-39934683D7EA}"/>
            </c:ext>
          </c:extLst>
        </c:ser>
        <c:ser>
          <c:idx val="5"/>
          <c:order val="5"/>
          <c:tx>
            <c:strRef>
              <c:f>'[1]Simple SaaS analysis'!$A$151</c:f>
              <c:strCache>
                <c:ptCount val="1"/>
                <c:pt idx="0">
                  <c:v>Cohort 6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analysis'!$B$151:$AO$151</c:f>
              <c:numCache>
                <c:formatCode>General</c:formatCode>
                <c:ptCount val="40"/>
                <c:pt idx="5">
                  <c:v>6000</c:v>
                </c:pt>
                <c:pt idx="6">
                  <c:v>5850</c:v>
                </c:pt>
                <c:pt idx="7">
                  <c:v>5703.75</c:v>
                </c:pt>
                <c:pt idx="8">
                  <c:v>5561.15625</c:v>
                </c:pt>
                <c:pt idx="9">
                  <c:v>5422.1273437499995</c:v>
                </c:pt>
                <c:pt idx="10">
                  <c:v>5286.5741601562495</c:v>
                </c:pt>
                <c:pt idx="11">
                  <c:v>5154.4098061523428</c:v>
                </c:pt>
                <c:pt idx="12">
                  <c:v>5025.5495609985337</c:v>
                </c:pt>
                <c:pt idx="13">
                  <c:v>4899.9108219735699</c:v>
                </c:pt>
                <c:pt idx="14">
                  <c:v>4777.4130514242306</c:v>
                </c:pt>
                <c:pt idx="15">
                  <c:v>4657.9777251386249</c:v>
                </c:pt>
                <c:pt idx="16">
                  <c:v>4541.5282820101593</c:v>
                </c:pt>
                <c:pt idx="17">
                  <c:v>4427.9900749599055</c:v>
                </c:pt>
                <c:pt idx="18">
                  <c:v>4317.2903230859074</c:v>
                </c:pt>
                <c:pt idx="19">
                  <c:v>4209.3580650087597</c:v>
                </c:pt>
                <c:pt idx="20">
                  <c:v>4104.124113383541</c:v>
                </c:pt>
                <c:pt idx="21">
                  <c:v>4001.5210105489523</c:v>
                </c:pt>
                <c:pt idx="22">
                  <c:v>3901.4829852852286</c:v>
                </c:pt>
                <c:pt idx="23">
                  <c:v>3803.9459106530976</c:v>
                </c:pt>
                <c:pt idx="24">
                  <c:v>3708.8472628867703</c:v>
                </c:pt>
                <c:pt idx="25">
                  <c:v>3616.1260813146009</c:v>
                </c:pt>
                <c:pt idx="26">
                  <c:v>3525.722929281736</c:v>
                </c:pt>
                <c:pt idx="27">
                  <c:v>3437.5798560496924</c:v>
                </c:pt>
                <c:pt idx="28">
                  <c:v>3351.6403596484502</c:v>
                </c:pt>
                <c:pt idx="29">
                  <c:v>3267.849350657239</c:v>
                </c:pt>
                <c:pt idx="30">
                  <c:v>3186.1531168908082</c:v>
                </c:pt>
                <c:pt idx="31">
                  <c:v>3106.4992889685377</c:v>
                </c:pt>
                <c:pt idx="32">
                  <c:v>3028.8368067443243</c:v>
                </c:pt>
                <c:pt idx="33">
                  <c:v>2953.1158865757161</c:v>
                </c:pt>
                <c:pt idx="34">
                  <c:v>2879.287989411323</c:v>
                </c:pt>
                <c:pt idx="35">
                  <c:v>2807.3057896760397</c:v>
                </c:pt>
                <c:pt idx="36">
                  <c:v>2737.1231449341385</c:v>
                </c:pt>
                <c:pt idx="37">
                  <c:v>2668.695066310785</c:v>
                </c:pt>
                <c:pt idx="38">
                  <c:v>2601.9776896530152</c:v>
                </c:pt>
                <c:pt idx="39">
                  <c:v>2536.9282474116899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8F-4C9C-B7A7-39934683D7EA}"/>
            </c:ext>
          </c:extLst>
        </c:ser>
        <c:ser>
          <c:idx val="6"/>
          <c:order val="6"/>
          <c:tx>
            <c:strRef>
              <c:f>'[1]Simple SaaS analysis'!$A$152</c:f>
              <c:strCache>
                <c:ptCount val="1"/>
                <c:pt idx="0">
                  <c:v>Cohort 7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analysis'!$B$152:$AO$152</c:f>
              <c:numCache>
                <c:formatCode>General</c:formatCode>
                <c:ptCount val="40"/>
                <c:pt idx="6">
                  <c:v>6000</c:v>
                </c:pt>
                <c:pt idx="7">
                  <c:v>5850</c:v>
                </c:pt>
                <c:pt idx="8">
                  <c:v>5703.75</c:v>
                </c:pt>
                <c:pt idx="9">
                  <c:v>5561.15625</c:v>
                </c:pt>
                <c:pt idx="10">
                  <c:v>5422.1273437499995</c:v>
                </c:pt>
                <c:pt idx="11">
                  <c:v>5286.5741601562495</c:v>
                </c:pt>
                <c:pt idx="12">
                  <c:v>5154.4098061523428</c:v>
                </c:pt>
                <c:pt idx="13">
                  <c:v>5025.5495609985337</c:v>
                </c:pt>
                <c:pt idx="14">
                  <c:v>4899.9108219735699</c:v>
                </c:pt>
                <c:pt idx="15">
                  <c:v>4777.4130514242306</c:v>
                </c:pt>
                <c:pt idx="16">
                  <c:v>4657.9777251386249</c:v>
                </c:pt>
                <c:pt idx="17">
                  <c:v>4541.5282820101593</c:v>
                </c:pt>
                <c:pt idx="18">
                  <c:v>4427.9900749599055</c:v>
                </c:pt>
                <c:pt idx="19">
                  <c:v>4317.2903230859074</c:v>
                </c:pt>
                <c:pt idx="20">
                  <c:v>4209.3580650087597</c:v>
                </c:pt>
                <c:pt idx="21">
                  <c:v>4104.124113383541</c:v>
                </c:pt>
                <c:pt idx="22">
                  <c:v>4001.5210105489523</c:v>
                </c:pt>
                <c:pt idx="23">
                  <c:v>3901.4829852852286</c:v>
                </c:pt>
                <c:pt idx="24">
                  <c:v>3803.9459106530976</c:v>
                </c:pt>
                <c:pt idx="25">
                  <c:v>3708.8472628867703</c:v>
                </c:pt>
                <c:pt idx="26">
                  <c:v>3616.1260813146009</c:v>
                </c:pt>
                <c:pt idx="27">
                  <c:v>3525.722929281736</c:v>
                </c:pt>
                <c:pt idx="28">
                  <c:v>3437.5798560496924</c:v>
                </c:pt>
                <c:pt idx="29">
                  <c:v>3351.6403596484502</c:v>
                </c:pt>
                <c:pt idx="30">
                  <c:v>3267.849350657239</c:v>
                </c:pt>
                <c:pt idx="31">
                  <c:v>3186.1531168908082</c:v>
                </c:pt>
                <c:pt idx="32">
                  <c:v>3106.4992889685377</c:v>
                </c:pt>
                <c:pt idx="33">
                  <c:v>3028.8368067443243</c:v>
                </c:pt>
                <c:pt idx="34">
                  <c:v>2953.1158865757161</c:v>
                </c:pt>
                <c:pt idx="35">
                  <c:v>2879.287989411323</c:v>
                </c:pt>
                <c:pt idx="36">
                  <c:v>2807.3057896760397</c:v>
                </c:pt>
                <c:pt idx="37">
                  <c:v>2737.1231449341385</c:v>
                </c:pt>
                <c:pt idx="38">
                  <c:v>2668.695066310785</c:v>
                </c:pt>
                <c:pt idx="39">
                  <c:v>2601.9776896530152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8F-4C9C-B7A7-39934683D7EA}"/>
            </c:ext>
          </c:extLst>
        </c:ser>
        <c:ser>
          <c:idx val="7"/>
          <c:order val="7"/>
          <c:tx>
            <c:strRef>
              <c:f>'[1]Simple SaaS analysis'!$A$153</c:f>
              <c:strCache>
                <c:ptCount val="1"/>
                <c:pt idx="0">
                  <c:v>Cohort 8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analysis'!$B$153:$AO$153</c:f>
              <c:numCache>
                <c:formatCode>General</c:formatCode>
                <c:ptCount val="40"/>
                <c:pt idx="7">
                  <c:v>6000</c:v>
                </c:pt>
                <c:pt idx="8">
                  <c:v>5850</c:v>
                </c:pt>
                <c:pt idx="9">
                  <c:v>5703.75</c:v>
                </c:pt>
                <c:pt idx="10">
                  <c:v>5561.15625</c:v>
                </c:pt>
                <c:pt idx="11">
                  <c:v>5422.1273437499995</c:v>
                </c:pt>
                <c:pt idx="12">
                  <c:v>5286.5741601562495</c:v>
                </c:pt>
                <c:pt idx="13">
                  <c:v>5154.4098061523428</c:v>
                </c:pt>
                <c:pt idx="14">
                  <c:v>5025.5495609985337</c:v>
                </c:pt>
                <c:pt idx="15">
                  <c:v>4899.9108219735699</c:v>
                </c:pt>
                <c:pt idx="16">
                  <c:v>4777.4130514242306</c:v>
                </c:pt>
                <c:pt idx="17">
                  <c:v>4657.9777251386249</c:v>
                </c:pt>
                <c:pt idx="18">
                  <c:v>4541.5282820101593</c:v>
                </c:pt>
                <c:pt idx="19">
                  <c:v>4427.9900749599055</c:v>
                </c:pt>
                <c:pt idx="20">
                  <c:v>4317.2903230859074</c:v>
                </c:pt>
                <c:pt idx="21">
                  <c:v>4209.3580650087597</c:v>
                </c:pt>
                <c:pt idx="22">
                  <c:v>4104.124113383541</c:v>
                </c:pt>
                <c:pt idx="23">
                  <c:v>4001.5210105489523</c:v>
                </c:pt>
                <c:pt idx="24">
                  <c:v>3901.4829852852286</c:v>
                </c:pt>
                <c:pt idx="25">
                  <c:v>3803.9459106530976</c:v>
                </c:pt>
                <c:pt idx="26">
                  <c:v>3708.8472628867703</c:v>
                </c:pt>
                <c:pt idx="27">
                  <c:v>3616.1260813146009</c:v>
                </c:pt>
                <c:pt idx="28">
                  <c:v>3525.722929281736</c:v>
                </c:pt>
                <c:pt idx="29">
                  <c:v>3437.5798560496924</c:v>
                </c:pt>
                <c:pt idx="30">
                  <c:v>3351.6403596484502</c:v>
                </c:pt>
                <c:pt idx="31">
                  <c:v>3267.849350657239</c:v>
                </c:pt>
                <c:pt idx="32">
                  <c:v>3186.1531168908082</c:v>
                </c:pt>
                <c:pt idx="33">
                  <c:v>3106.4992889685377</c:v>
                </c:pt>
                <c:pt idx="34">
                  <c:v>3028.8368067443243</c:v>
                </c:pt>
                <c:pt idx="35">
                  <c:v>2953.1158865757161</c:v>
                </c:pt>
                <c:pt idx="36">
                  <c:v>2879.287989411323</c:v>
                </c:pt>
                <c:pt idx="37">
                  <c:v>2807.3057896760397</c:v>
                </c:pt>
                <c:pt idx="38">
                  <c:v>2737.1231449341385</c:v>
                </c:pt>
                <c:pt idx="39">
                  <c:v>2668.695066310785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8F-4C9C-B7A7-39934683D7EA}"/>
            </c:ext>
          </c:extLst>
        </c:ser>
        <c:ser>
          <c:idx val="8"/>
          <c:order val="8"/>
          <c:tx>
            <c:strRef>
              <c:f>'[1]Simple SaaS analysis'!$A$154</c:f>
              <c:strCache>
                <c:ptCount val="1"/>
                <c:pt idx="0">
                  <c:v>Cohort 9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analysis'!$B$154:$AO$154</c:f>
              <c:numCache>
                <c:formatCode>General</c:formatCode>
                <c:ptCount val="40"/>
                <c:pt idx="8">
                  <c:v>6000</c:v>
                </c:pt>
                <c:pt idx="9">
                  <c:v>5850</c:v>
                </c:pt>
                <c:pt idx="10">
                  <c:v>5703.75</c:v>
                </c:pt>
                <c:pt idx="11">
                  <c:v>5561.15625</c:v>
                </c:pt>
                <c:pt idx="12">
                  <c:v>5422.1273437499995</c:v>
                </c:pt>
                <c:pt idx="13">
                  <c:v>5286.5741601562495</c:v>
                </c:pt>
                <c:pt idx="14">
                  <c:v>5154.4098061523428</c:v>
                </c:pt>
                <c:pt idx="15">
                  <c:v>5025.5495609985337</c:v>
                </c:pt>
                <c:pt idx="16">
                  <c:v>4899.9108219735699</c:v>
                </c:pt>
                <c:pt idx="17">
                  <c:v>4777.4130514242306</c:v>
                </c:pt>
                <c:pt idx="18">
                  <c:v>4657.9777251386249</c:v>
                </c:pt>
                <c:pt idx="19">
                  <c:v>4541.5282820101593</c:v>
                </c:pt>
                <c:pt idx="20">
                  <c:v>4427.9900749599055</c:v>
                </c:pt>
                <c:pt idx="21">
                  <c:v>4317.2903230859074</c:v>
                </c:pt>
                <c:pt idx="22">
                  <c:v>4209.3580650087597</c:v>
                </c:pt>
                <c:pt idx="23">
                  <c:v>4104.124113383541</c:v>
                </c:pt>
                <c:pt idx="24">
                  <c:v>4001.5210105489523</c:v>
                </c:pt>
                <c:pt idx="25">
                  <c:v>3901.4829852852286</c:v>
                </c:pt>
                <c:pt idx="26">
                  <c:v>3803.9459106530976</c:v>
                </c:pt>
                <c:pt idx="27">
                  <c:v>3708.8472628867703</c:v>
                </c:pt>
                <c:pt idx="28">
                  <c:v>3616.1260813146009</c:v>
                </c:pt>
                <c:pt idx="29">
                  <c:v>3525.722929281736</c:v>
                </c:pt>
                <c:pt idx="30">
                  <c:v>3437.5798560496924</c:v>
                </c:pt>
                <c:pt idx="31">
                  <c:v>3351.6403596484502</c:v>
                </c:pt>
                <c:pt idx="32">
                  <c:v>3267.849350657239</c:v>
                </c:pt>
                <c:pt idx="33">
                  <c:v>3186.1531168908082</c:v>
                </c:pt>
                <c:pt idx="34">
                  <c:v>3106.4992889685377</c:v>
                </c:pt>
                <c:pt idx="35">
                  <c:v>3028.8368067443243</c:v>
                </c:pt>
                <c:pt idx="36">
                  <c:v>2953.1158865757161</c:v>
                </c:pt>
                <c:pt idx="37">
                  <c:v>2879.287989411323</c:v>
                </c:pt>
                <c:pt idx="38">
                  <c:v>2807.3057896760397</c:v>
                </c:pt>
                <c:pt idx="39">
                  <c:v>2737.1231449341385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8F-4C9C-B7A7-39934683D7EA}"/>
            </c:ext>
          </c:extLst>
        </c:ser>
        <c:ser>
          <c:idx val="9"/>
          <c:order val="9"/>
          <c:tx>
            <c:strRef>
              <c:f>'[1]Simple SaaS analysis'!$A$155</c:f>
              <c:strCache>
                <c:ptCount val="1"/>
                <c:pt idx="0">
                  <c:v>Cohort 10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analysis'!$B$155:$AO$155</c:f>
              <c:numCache>
                <c:formatCode>General</c:formatCode>
                <c:ptCount val="40"/>
                <c:pt idx="9">
                  <c:v>6000</c:v>
                </c:pt>
                <c:pt idx="10">
                  <c:v>5850</c:v>
                </c:pt>
                <c:pt idx="11">
                  <c:v>5703.75</c:v>
                </c:pt>
                <c:pt idx="12">
                  <c:v>5561.15625</c:v>
                </c:pt>
                <c:pt idx="13">
                  <c:v>5422.1273437499995</c:v>
                </c:pt>
                <c:pt idx="14">
                  <c:v>5286.5741601562495</c:v>
                </c:pt>
                <c:pt idx="15">
                  <c:v>5154.4098061523428</c:v>
                </c:pt>
                <c:pt idx="16">
                  <c:v>5025.5495609985337</c:v>
                </c:pt>
                <c:pt idx="17">
                  <c:v>4899.9108219735699</c:v>
                </c:pt>
                <c:pt idx="18">
                  <c:v>4777.4130514242306</c:v>
                </c:pt>
                <c:pt idx="19">
                  <c:v>4657.9777251386249</c:v>
                </c:pt>
                <c:pt idx="20">
                  <c:v>4541.5282820101593</c:v>
                </c:pt>
                <c:pt idx="21">
                  <c:v>4427.9900749599055</c:v>
                </c:pt>
                <c:pt idx="22">
                  <c:v>4317.2903230859074</c:v>
                </c:pt>
                <c:pt idx="23">
                  <c:v>4209.3580650087597</c:v>
                </c:pt>
                <c:pt idx="24">
                  <c:v>4104.124113383541</c:v>
                </c:pt>
                <c:pt idx="25">
                  <c:v>4001.5210105489523</c:v>
                </c:pt>
                <c:pt idx="26">
                  <c:v>3901.4829852852286</c:v>
                </c:pt>
                <c:pt idx="27">
                  <c:v>3803.9459106530976</c:v>
                </c:pt>
                <c:pt idx="28">
                  <c:v>3708.8472628867703</c:v>
                </c:pt>
                <c:pt idx="29">
                  <c:v>3616.1260813146009</c:v>
                </c:pt>
                <c:pt idx="30">
                  <c:v>3525.722929281736</c:v>
                </c:pt>
                <c:pt idx="31">
                  <c:v>3437.5798560496924</c:v>
                </c:pt>
                <c:pt idx="32">
                  <c:v>3351.6403596484502</c:v>
                </c:pt>
                <c:pt idx="33">
                  <c:v>3267.849350657239</c:v>
                </c:pt>
                <c:pt idx="34">
                  <c:v>3186.1531168908082</c:v>
                </c:pt>
                <c:pt idx="35">
                  <c:v>3106.4992889685377</c:v>
                </c:pt>
                <c:pt idx="36">
                  <c:v>3028.8368067443243</c:v>
                </c:pt>
                <c:pt idx="37">
                  <c:v>2953.1158865757161</c:v>
                </c:pt>
                <c:pt idx="38">
                  <c:v>2879.287989411323</c:v>
                </c:pt>
                <c:pt idx="39">
                  <c:v>2807.3057896760397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8F-4C9C-B7A7-39934683D7EA}"/>
            </c:ext>
          </c:extLst>
        </c:ser>
        <c:ser>
          <c:idx val="10"/>
          <c:order val="10"/>
          <c:tx>
            <c:strRef>
              <c:f>'[1]Simple SaaS analysis'!$A$156</c:f>
              <c:strCache>
                <c:ptCount val="1"/>
                <c:pt idx="0">
                  <c:v>Cohort 11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analysis'!$B$156:$AO$156</c:f>
              <c:numCache>
                <c:formatCode>General</c:formatCode>
                <c:ptCount val="40"/>
                <c:pt idx="10">
                  <c:v>6000</c:v>
                </c:pt>
                <c:pt idx="11">
                  <c:v>5850</c:v>
                </c:pt>
                <c:pt idx="12">
                  <c:v>5703.75</c:v>
                </c:pt>
                <c:pt idx="13">
                  <c:v>5561.15625</c:v>
                </c:pt>
                <c:pt idx="14">
                  <c:v>5422.1273437499995</c:v>
                </c:pt>
                <c:pt idx="15">
                  <c:v>5286.5741601562495</c:v>
                </c:pt>
                <c:pt idx="16">
                  <c:v>5154.4098061523428</c:v>
                </c:pt>
                <c:pt idx="17">
                  <c:v>5025.5495609985337</c:v>
                </c:pt>
                <c:pt idx="18">
                  <c:v>4899.9108219735699</c:v>
                </c:pt>
                <c:pt idx="19">
                  <c:v>4777.4130514242306</c:v>
                </c:pt>
                <c:pt idx="20">
                  <c:v>4657.9777251386249</c:v>
                </c:pt>
                <c:pt idx="21">
                  <c:v>4541.5282820101593</c:v>
                </c:pt>
                <c:pt idx="22">
                  <c:v>4427.9900749599055</c:v>
                </c:pt>
                <c:pt idx="23">
                  <c:v>4317.2903230859074</c:v>
                </c:pt>
                <c:pt idx="24">
                  <c:v>4209.3580650087597</c:v>
                </c:pt>
                <c:pt idx="25">
                  <c:v>4104.124113383541</c:v>
                </c:pt>
                <c:pt idx="26">
                  <c:v>4001.5210105489523</c:v>
                </c:pt>
                <c:pt idx="27">
                  <c:v>3901.4829852852286</c:v>
                </c:pt>
                <c:pt idx="28">
                  <c:v>3803.9459106530976</c:v>
                </c:pt>
                <c:pt idx="29">
                  <c:v>3708.8472628867703</c:v>
                </c:pt>
                <c:pt idx="30">
                  <c:v>3616.1260813146009</c:v>
                </c:pt>
                <c:pt idx="31">
                  <c:v>3525.722929281736</c:v>
                </c:pt>
                <c:pt idx="32">
                  <c:v>3437.5798560496924</c:v>
                </c:pt>
                <c:pt idx="33">
                  <c:v>3351.6403596484502</c:v>
                </c:pt>
                <c:pt idx="34">
                  <c:v>3267.849350657239</c:v>
                </c:pt>
                <c:pt idx="35">
                  <c:v>3186.1531168908082</c:v>
                </c:pt>
                <c:pt idx="36">
                  <c:v>3106.4992889685377</c:v>
                </c:pt>
                <c:pt idx="37">
                  <c:v>3028.8368067443243</c:v>
                </c:pt>
                <c:pt idx="38">
                  <c:v>2953.1158865757161</c:v>
                </c:pt>
                <c:pt idx="39">
                  <c:v>2879.287989411323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8F-4C9C-B7A7-39934683D7EA}"/>
            </c:ext>
          </c:extLst>
        </c:ser>
        <c:ser>
          <c:idx val="11"/>
          <c:order val="11"/>
          <c:tx>
            <c:strRef>
              <c:f>'[1]Simple SaaS analysis'!$A$157</c:f>
              <c:strCache>
                <c:ptCount val="1"/>
                <c:pt idx="0">
                  <c:v>Cohort 12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analysis'!$B$157:$AO$157</c:f>
              <c:numCache>
                <c:formatCode>General</c:formatCode>
                <c:ptCount val="40"/>
                <c:pt idx="11">
                  <c:v>6000</c:v>
                </c:pt>
                <c:pt idx="12">
                  <c:v>5850</c:v>
                </c:pt>
                <c:pt idx="13">
                  <c:v>5703.75</c:v>
                </c:pt>
                <c:pt idx="14">
                  <c:v>5561.15625</c:v>
                </c:pt>
                <c:pt idx="15">
                  <c:v>5422.1273437499995</c:v>
                </c:pt>
                <c:pt idx="16">
                  <c:v>5286.5741601562495</c:v>
                </c:pt>
                <c:pt idx="17">
                  <c:v>5154.4098061523428</c:v>
                </c:pt>
                <c:pt idx="18">
                  <c:v>5025.5495609985337</c:v>
                </c:pt>
                <c:pt idx="19">
                  <c:v>4899.9108219735699</c:v>
                </c:pt>
                <c:pt idx="20">
                  <c:v>4777.4130514242306</c:v>
                </c:pt>
                <c:pt idx="21">
                  <c:v>4657.9777251386249</c:v>
                </c:pt>
                <c:pt idx="22">
                  <c:v>4541.5282820101593</c:v>
                </c:pt>
                <c:pt idx="23">
                  <c:v>4427.9900749599055</c:v>
                </c:pt>
                <c:pt idx="24">
                  <c:v>4317.2903230859074</c:v>
                </c:pt>
                <c:pt idx="25">
                  <c:v>4209.3580650087597</c:v>
                </c:pt>
                <c:pt idx="26">
                  <c:v>4104.124113383541</c:v>
                </c:pt>
                <c:pt idx="27">
                  <c:v>4001.5210105489523</c:v>
                </c:pt>
                <c:pt idx="28">
                  <c:v>3901.4829852852286</c:v>
                </c:pt>
                <c:pt idx="29">
                  <c:v>3803.9459106530976</c:v>
                </c:pt>
                <c:pt idx="30">
                  <c:v>3708.8472628867703</c:v>
                </c:pt>
                <c:pt idx="31">
                  <c:v>3616.1260813146009</c:v>
                </c:pt>
                <c:pt idx="32">
                  <c:v>3525.722929281736</c:v>
                </c:pt>
                <c:pt idx="33">
                  <c:v>3437.5798560496924</c:v>
                </c:pt>
                <c:pt idx="34">
                  <c:v>3351.6403596484502</c:v>
                </c:pt>
                <c:pt idx="35">
                  <c:v>3267.849350657239</c:v>
                </c:pt>
                <c:pt idx="36">
                  <c:v>3186.1531168908082</c:v>
                </c:pt>
                <c:pt idx="37">
                  <c:v>3106.4992889685377</c:v>
                </c:pt>
                <c:pt idx="38">
                  <c:v>3028.8368067443243</c:v>
                </c:pt>
                <c:pt idx="39">
                  <c:v>2953.1158865757161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8F-4C9C-B7A7-39934683D7EA}"/>
            </c:ext>
          </c:extLst>
        </c:ser>
        <c:ser>
          <c:idx val="12"/>
          <c:order val="12"/>
          <c:tx>
            <c:strRef>
              <c:f>'[1]Simple SaaS analysis'!$A$158</c:f>
              <c:strCache>
                <c:ptCount val="1"/>
                <c:pt idx="0">
                  <c:v>Cohort 13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analysis'!$B$158:$AO$158</c:f>
              <c:numCache>
                <c:formatCode>General</c:formatCode>
                <c:ptCount val="40"/>
                <c:pt idx="12">
                  <c:v>6000</c:v>
                </c:pt>
                <c:pt idx="13">
                  <c:v>5850</c:v>
                </c:pt>
                <c:pt idx="14">
                  <c:v>5703.75</c:v>
                </c:pt>
                <c:pt idx="15">
                  <c:v>5561.15625</c:v>
                </c:pt>
                <c:pt idx="16">
                  <c:v>5422.1273437499995</c:v>
                </c:pt>
                <c:pt idx="17">
                  <c:v>5286.5741601562495</c:v>
                </c:pt>
                <c:pt idx="18">
                  <c:v>5154.4098061523428</c:v>
                </c:pt>
                <c:pt idx="19">
                  <c:v>5025.5495609985337</c:v>
                </c:pt>
                <c:pt idx="20">
                  <c:v>4899.9108219735699</c:v>
                </c:pt>
                <c:pt idx="21">
                  <c:v>4777.4130514242306</c:v>
                </c:pt>
                <c:pt idx="22">
                  <c:v>4657.9777251386249</c:v>
                </c:pt>
                <c:pt idx="23">
                  <c:v>4541.5282820101593</c:v>
                </c:pt>
                <c:pt idx="24">
                  <c:v>4427.9900749599055</c:v>
                </c:pt>
                <c:pt idx="25">
                  <c:v>4317.2903230859074</c:v>
                </c:pt>
                <c:pt idx="26">
                  <c:v>4209.3580650087597</c:v>
                </c:pt>
                <c:pt idx="27">
                  <c:v>4104.124113383541</c:v>
                </c:pt>
                <c:pt idx="28">
                  <c:v>4001.5210105489523</c:v>
                </c:pt>
                <c:pt idx="29">
                  <c:v>3901.4829852852286</c:v>
                </c:pt>
                <c:pt idx="30">
                  <c:v>3803.9459106530976</c:v>
                </c:pt>
                <c:pt idx="31">
                  <c:v>3708.8472628867703</c:v>
                </c:pt>
                <c:pt idx="32">
                  <c:v>3616.1260813146009</c:v>
                </c:pt>
                <c:pt idx="33">
                  <c:v>3525.722929281736</c:v>
                </c:pt>
                <c:pt idx="34">
                  <c:v>3437.5798560496924</c:v>
                </c:pt>
                <c:pt idx="35">
                  <c:v>3351.6403596484502</c:v>
                </c:pt>
                <c:pt idx="36">
                  <c:v>3267.849350657239</c:v>
                </c:pt>
                <c:pt idx="37">
                  <c:v>3186.1531168908082</c:v>
                </c:pt>
                <c:pt idx="38">
                  <c:v>3106.4992889685377</c:v>
                </c:pt>
                <c:pt idx="39">
                  <c:v>3028.8368067443243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8F-4C9C-B7A7-39934683D7EA}"/>
            </c:ext>
          </c:extLst>
        </c:ser>
        <c:ser>
          <c:idx val="13"/>
          <c:order val="13"/>
          <c:tx>
            <c:strRef>
              <c:f>'[1]Simple SaaS analysis'!$A$159</c:f>
              <c:strCache>
                <c:ptCount val="1"/>
                <c:pt idx="0">
                  <c:v>Cohort 14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analysis'!$B$159:$AO$159</c:f>
              <c:numCache>
                <c:formatCode>General</c:formatCode>
                <c:ptCount val="40"/>
                <c:pt idx="13">
                  <c:v>6000</c:v>
                </c:pt>
                <c:pt idx="14">
                  <c:v>5850</c:v>
                </c:pt>
                <c:pt idx="15">
                  <c:v>5703.75</c:v>
                </c:pt>
                <c:pt idx="16">
                  <c:v>5561.15625</c:v>
                </c:pt>
                <c:pt idx="17">
                  <c:v>5422.1273437499995</c:v>
                </c:pt>
                <c:pt idx="18">
                  <c:v>5286.5741601562495</c:v>
                </c:pt>
                <c:pt idx="19">
                  <c:v>5154.4098061523428</c:v>
                </c:pt>
                <c:pt idx="20">
                  <c:v>5025.5495609985337</c:v>
                </c:pt>
                <c:pt idx="21">
                  <c:v>4899.9108219735699</c:v>
                </c:pt>
                <c:pt idx="22">
                  <c:v>4777.4130514242306</c:v>
                </c:pt>
                <c:pt idx="23">
                  <c:v>4657.9777251386249</c:v>
                </c:pt>
                <c:pt idx="24">
                  <c:v>4541.5282820101593</c:v>
                </c:pt>
                <c:pt idx="25">
                  <c:v>4427.9900749599055</c:v>
                </c:pt>
                <c:pt idx="26">
                  <c:v>4317.2903230859074</c:v>
                </c:pt>
                <c:pt idx="27">
                  <c:v>4209.3580650087597</c:v>
                </c:pt>
                <c:pt idx="28">
                  <c:v>4104.124113383541</c:v>
                </c:pt>
                <c:pt idx="29">
                  <c:v>4001.5210105489523</c:v>
                </c:pt>
                <c:pt idx="30">
                  <c:v>3901.4829852852286</c:v>
                </c:pt>
                <c:pt idx="31">
                  <c:v>3803.9459106530976</c:v>
                </c:pt>
                <c:pt idx="32">
                  <c:v>3708.8472628867703</c:v>
                </c:pt>
                <c:pt idx="33">
                  <c:v>3616.1260813146009</c:v>
                </c:pt>
                <c:pt idx="34">
                  <c:v>3525.722929281736</c:v>
                </c:pt>
                <c:pt idx="35">
                  <c:v>3437.5798560496924</c:v>
                </c:pt>
                <c:pt idx="36">
                  <c:v>3351.6403596484502</c:v>
                </c:pt>
                <c:pt idx="37">
                  <c:v>3267.849350657239</c:v>
                </c:pt>
                <c:pt idx="38">
                  <c:v>3186.1531168908082</c:v>
                </c:pt>
                <c:pt idx="39">
                  <c:v>3106.4992889685377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B8F-4C9C-B7A7-39934683D7EA}"/>
            </c:ext>
          </c:extLst>
        </c:ser>
        <c:ser>
          <c:idx val="14"/>
          <c:order val="14"/>
          <c:tx>
            <c:strRef>
              <c:f>'[1]Simple SaaS analysis'!$A$160</c:f>
              <c:strCache>
                <c:ptCount val="1"/>
                <c:pt idx="0">
                  <c:v>Cohort 15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analysis'!$B$160:$AO$160</c:f>
              <c:numCache>
                <c:formatCode>General</c:formatCode>
                <c:ptCount val="40"/>
                <c:pt idx="14">
                  <c:v>6000</c:v>
                </c:pt>
                <c:pt idx="15">
                  <c:v>5850</c:v>
                </c:pt>
                <c:pt idx="16">
                  <c:v>5703.75</c:v>
                </c:pt>
                <c:pt idx="17">
                  <c:v>5561.15625</c:v>
                </c:pt>
                <c:pt idx="18">
                  <c:v>5422.1273437499995</c:v>
                </c:pt>
                <c:pt idx="19">
                  <c:v>5286.5741601562495</c:v>
                </c:pt>
                <c:pt idx="20">
                  <c:v>5154.4098061523428</c:v>
                </c:pt>
                <c:pt idx="21">
                  <c:v>5025.5495609985337</c:v>
                </c:pt>
                <c:pt idx="22">
                  <c:v>4899.9108219735699</c:v>
                </c:pt>
                <c:pt idx="23">
                  <c:v>4777.4130514242306</c:v>
                </c:pt>
                <c:pt idx="24">
                  <c:v>4657.9777251386249</c:v>
                </c:pt>
                <c:pt idx="25">
                  <c:v>4541.5282820101593</c:v>
                </c:pt>
                <c:pt idx="26">
                  <c:v>4427.9900749599055</c:v>
                </c:pt>
                <c:pt idx="27">
                  <c:v>4317.2903230859074</c:v>
                </c:pt>
                <c:pt idx="28">
                  <c:v>4209.3580650087597</c:v>
                </c:pt>
                <c:pt idx="29">
                  <c:v>4104.124113383541</c:v>
                </c:pt>
                <c:pt idx="30">
                  <c:v>4001.5210105489523</c:v>
                </c:pt>
                <c:pt idx="31">
                  <c:v>3901.4829852852286</c:v>
                </c:pt>
                <c:pt idx="32">
                  <c:v>3803.9459106530976</c:v>
                </c:pt>
                <c:pt idx="33">
                  <c:v>3708.8472628867703</c:v>
                </c:pt>
                <c:pt idx="34">
                  <c:v>3616.1260813146009</c:v>
                </c:pt>
                <c:pt idx="35">
                  <c:v>3525.722929281736</c:v>
                </c:pt>
                <c:pt idx="36">
                  <c:v>3437.5798560496924</c:v>
                </c:pt>
                <c:pt idx="37">
                  <c:v>3351.6403596484502</c:v>
                </c:pt>
                <c:pt idx="38">
                  <c:v>3267.849350657239</c:v>
                </c:pt>
                <c:pt idx="39">
                  <c:v>3186.1531168908082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B8F-4C9C-B7A7-39934683D7EA}"/>
            </c:ext>
          </c:extLst>
        </c:ser>
        <c:ser>
          <c:idx val="15"/>
          <c:order val="15"/>
          <c:tx>
            <c:strRef>
              <c:f>'[1]Simple SaaS analysis'!$A$161</c:f>
              <c:strCache>
                <c:ptCount val="1"/>
                <c:pt idx="0">
                  <c:v>Cohort 16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analysis'!$B$161:$AO$161</c:f>
              <c:numCache>
                <c:formatCode>General</c:formatCode>
                <c:ptCount val="40"/>
                <c:pt idx="15">
                  <c:v>6000</c:v>
                </c:pt>
                <c:pt idx="16">
                  <c:v>5850</c:v>
                </c:pt>
                <c:pt idx="17">
                  <c:v>5703.75</c:v>
                </c:pt>
                <c:pt idx="18">
                  <c:v>5561.15625</c:v>
                </c:pt>
                <c:pt idx="19">
                  <c:v>5422.1273437499995</c:v>
                </c:pt>
                <c:pt idx="20">
                  <c:v>5286.5741601562495</c:v>
                </c:pt>
                <c:pt idx="21">
                  <c:v>5154.4098061523428</c:v>
                </c:pt>
                <c:pt idx="22">
                  <c:v>5025.5495609985337</c:v>
                </c:pt>
                <c:pt idx="23">
                  <c:v>4899.9108219735699</c:v>
                </c:pt>
                <c:pt idx="24">
                  <c:v>4777.4130514242306</c:v>
                </c:pt>
                <c:pt idx="25">
                  <c:v>4657.9777251386249</c:v>
                </c:pt>
                <c:pt idx="26">
                  <c:v>4541.5282820101593</c:v>
                </c:pt>
                <c:pt idx="27">
                  <c:v>4427.9900749599055</c:v>
                </c:pt>
                <c:pt idx="28">
                  <c:v>4317.2903230859074</c:v>
                </c:pt>
                <c:pt idx="29">
                  <c:v>4209.3580650087597</c:v>
                </c:pt>
                <c:pt idx="30">
                  <c:v>4104.124113383541</c:v>
                </c:pt>
                <c:pt idx="31">
                  <c:v>4001.5210105489523</c:v>
                </c:pt>
                <c:pt idx="32">
                  <c:v>3901.4829852852286</c:v>
                </c:pt>
                <c:pt idx="33">
                  <c:v>3803.9459106530976</c:v>
                </c:pt>
                <c:pt idx="34">
                  <c:v>3708.8472628867703</c:v>
                </c:pt>
                <c:pt idx="35">
                  <c:v>3616.1260813146009</c:v>
                </c:pt>
                <c:pt idx="36">
                  <c:v>3525.722929281736</c:v>
                </c:pt>
                <c:pt idx="37">
                  <c:v>3437.5798560496924</c:v>
                </c:pt>
                <c:pt idx="38">
                  <c:v>3351.6403596484502</c:v>
                </c:pt>
                <c:pt idx="39">
                  <c:v>3267.849350657239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B8F-4C9C-B7A7-39934683D7EA}"/>
            </c:ext>
          </c:extLst>
        </c:ser>
        <c:ser>
          <c:idx val="16"/>
          <c:order val="16"/>
          <c:tx>
            <c:strRef>
              <c:f>'[1]Simple SaaS analysis'!$A$162</c:f>
              <c:strCache>
                <c:ptCount val="1"/>
                <c:pt idx="0">
                  <c:v>Cohort 17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analysis'!$B$162:$AO$162</c:f>
              <c:numCache>
                <c:formatCode>General</c:formatCode>
                <c:ptCount val="40"/>
                <c:pt idx="16">
                  <c:v>6000</c:v>
                </c:pt>
                <c:pt idx="17">
                  <c:v>5850</c:v>
                </c:pt>
                <c:pt idx="18">
                  <c:v>5703.75</c:v>
                </c:pt>
                <c:pt idx="19">
                  <c:v>5561.15625</c:v>
                </c:pt>
                <c:pt idx="20">
                  <c:v>5422.1273437499995</c:v>
                </c:pt>
                <c:pt idx="21">
                  <c:v>5286.5741601562495</c:v>
                </c:pt>
                <c:pt idx="22">
                  <c:v>5154.4098061523428</c:v>
                </c:pt>
                <c:pt idx="23">
                  <c:v>5025.5495609985337</c:v>
                </c:pt>
                <c:pt idx="24">
                  <c:v>4899.9108219735699</c:v>
                </c:pt>
                <c:pt idx="25">
                  <c:v>4777.4130514242306</c:v>
                </c:pt>
                <c:pt idx="26">
                  <c:v>4657.9777251386249</c:v>
                </c:pt>
                <c:pt idx="27">
                  <c:v>4541.5282820101593</c:v>
                </c:pt>
                <c:pt idx="28">
                  <c:v>4427.9900749599055</c:v>
                </c:pt>
                <c:pt idx="29">
                  <c:v>4317.2903230859074</c:v>
                </c:pt>
                <c:pt idx="30">
                  <c:v>4209.3580650087597</c:v>
                </c:pt>
                <c:pt idx="31">
                  <c:v>4104.124113383541</c:v>
                </c:pt>
                <c:pt idx="32">
                  <c:v>4001.5210105489523</c:v>
                </c:pt>
                <c:pt idx="33">
                  <c:v>3901.4829852852286</c:v>
                </c:pt>
                <c:pt idx="34">
                  <c:v>3803.9459106530976</c:v>
                </c:pt>
                <c:pt idx="35">
                  <c:v>3708.8472628867703</c:v>
                </c:pt>
                <c:pt idx="36">
                  <c:v>3616.1260813146009</c:v>
                </c:pt>
                <c:pt idx="37">
                  <c:v>3525.722929281736</c:v>
                </c:pt>
                <c:pt idx="38">
                  <c:v>3437.5798560496924</c:v>
                </c:pt>
                <c:pt idx="39">
                  <c:v>3351.6403596484502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B8F-4C9C-B7A7-39934683D7EA}"/>
            </c:ext>
          </c:extLst>
        </c:ser>
        <c:ser>
          <c:idx val="17"/>
          <c:order val="17"/>
          <c:tx>
            <c:strRef>
              <c:f>'[1]Simple SaaS analysis'!$A$163</c:f>
              <c:strCache>
                <c:ptCount val="1"/>
                <c:pt idx="0">
                  <c:v>Cohort 18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analysis'!$B$163:$AO$163</c:f>
              <c:numCache>
                <c:formatCode>General</c:formatCode>
                <c:ptCount val="40"/>
                <c:pt idx="17">
                  <c:v>6000</c:v>
                </c:pt>
                <c:pt idx="18">
                  <c:v>5850</c:v>
                </c:pt>
                <c:pt idx="19">
                  <c:v>5703.75</c:v>
                </c:pt>
                <c:pt idx="20">
                  <c:v>5561.15625</c:v>
                </c:pt>
                <c:pt idx="21">
                  <c:v>5422.1273437499995</c:v>
                </c:pt>
                <c:pt idx="22">
                  <c:v>5286.5741601562495</c:v>
                </c:pt>
                <c:pt idx="23">
                  <c:v>5154.4098061523428</c:v>
                </c:pt>
                <c:pt idx="24">
                  <c:v>5025.5495609985337</c:v>
                </c:pt>
                <c:pt idx="25">
                  <c:v>4899.9108219735699</c:v>
                </c:pt>
                <c:pt idx="26">
                  <c:v>4777.4130514242306</c:v>
                </c:pt>
                <c:pt idx="27">
                  <c:v>4657.9777251386249</c:v>
                </c:pt>
                <c:pt idx="28">
                  <c:v>4541.5282820101593</c:v>
                </c:pt>
                <c:pt idx="29">
                  <c:v>4427.9900749599055</c:v>
                </c:pt>
                <c:pt idx="30">
                  <c:v>4317.2903230859074</c:v>
                </c:pt>
                <c:pt idx="31">
                  <c:v>4209.3580650087597</c:v>
                </c:pt>
                <c:pt idx="32">
                  <c:v>4104.124113383541</c:v>
                </c:pt>
                <c:pt idx="33">
                  <c:v>4001.5210105489523</c:v>
                </c:pt>
                <c:pt idx="34">
                  <c:v>3901.4829852852286</c:v>
                </c:pt>
                <c:pt idx="35">
                  <c:v>3803.9459106530976</c:v>
                </c:pt>
                <c:pt idx="36">
                  <c:v>3708.8472628867703</c:v>
                </c:pt>
                <c:pt idx="37">
                  <c:v>3616.1260813146009</c:v>
                </c:pt>
                <c:pt idx="38">
                  <c:v>3525.722929281736</c:v>
                </c:pt>
                <c:pt idx="39">
                  <c:v>3437.5798560496924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8F-4C9C-B7A7-39934683D7EA}"/>
            </c:ext>
          </c:extLst>
        </c:ser>
        <c:ser>
          <c:idx val="18"/>
          <c:order val="18"/>
          <c:tx>
            <c:strRef>
              <c:f>'[1]Simple SaaS analysis'!$A$164</c:f>
              <c:strCache>
                <c:ptCount val="1"/>
                <c:pt idx="0">
                  <c:v>Cohort 19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analysis'!$B$164:$AO$164</c:f>
              <c:numCache>
                <c:formatCode>General</c:formatCode>
                <c:ptCount val="40"/>
                <c:pt idx="18">
                  <c:v>6000</c:v>
                </c:pt>
                <c:pt idx="19">
                  <c:v>5850</c:v>
                </c:pt>
                <c:pt idx="20">
                  <c:v>5703.75</c:v>
                </c:pt>
                <c:pt idx="21">
                  <c:v>5561.15625</c:v>
                </c:pt>
                <c:pt idx="22">
                  <c:v>5422.1273437499995</c:v>
                </c:pt>
                <c:pt idx="23">
                  <c:v>5286.5741601562495</c:v>
                </c:pt>
                <c:pt idx="24">
                  <c:v>5154.4098061523428</c:v>
                </c:pt>
                <c:pt idx="25">
                  <c:v>5025.5495609985337</c:v>
                </c:pt>
                <c:pt idx="26">
                  <c:v>4899.9108219735699</c:v>
                </c:pt>
                <c:pt idx="27">
                  <c:v>4777.4130514242306</c:v>
                </c:pt>
                <c:pt idx="28">
                  <c:v>4657.9777251386249</c:v>
                </c:pt>
                <c:pt idx="29">
                  <c:v>4541.5282820101593</c:v>
                </c:pt>
                <c:pt idx="30">
                  <c:v>4427.9900749599055</c:v>
                </c:pt>
                <c:pt idx="31">
                  <c:v>4317.2903230859074</c:v>
                </c:pt>
                <c:pt idx="32">
                  <c:v>4209.3580650087597</c:v>
                </c:pt>
                <c:pt idx="33">
                  <c:v>4104.124113383541</c:v>
                </c:pt>
                <c:pt idx="34">
                  <c:v>4001.5210105489523</c:v>
                </c:pt>
                <c:pt idx="35">
                  <c:v>3901.4829852852286</c:v>
                </c:pt>
                <c:pt idx="36">
                  <c:v>3803.9459106530976</c:v>
                </c:pt>
                <c:pt idx="37">
                  <c:v>3708.8472628867703</c:v>
                </c:pt>
                <c:pt idx="38">
                  <c:v>3616.1260813146009</c:v>
                </c:pt>
                <c:pt idx="39">
                  <c:v>3525.722929281736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B8F-4C9C-B7A7-39934683D7EA}"/>
            </c:ext>
          </c:extLst>
        </c:ser>
        <c:ser>
          <c:idx val="19"/>
          <c:order val="19"/>
          <c:tx>
            <c:strRef>
              <c:f>'[1]Simple SaaS analysis'!$A$165</c:f>
              <c:strCache>
                <c:ptCount val="1"/>
                <c:pt idx="0">
                  <c:v>Cohort 20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analysis'!$B$165:$AO$165</c:f>
              <c:numCache>
                <c:formatCode>General</c:formatCode>
                <c:ptCount val="40"/>
                <c:pt idx="19">
                  <c:v>6000</c:v>
                </c:pt>
                <c:pt idx="20">
                  <c:v>5850</c:v>
                </c:pt>
                <c:pt idx="21">
                  <c:v>5703.75</c:v>
                </c:pt>
                <c:pt idx="22">
                  <c:v>5561.15625</c:v>
                </c:pt>
                <c:pt idx="23">
                  <c:v>5422.1273437499995</c:v>
                </c:pt>
                <c:pt idx="24">
                  <c:v>5286.5741601562495</c:v>
                </c:pt>
                <c:pt idx="25">
                  <c:v>5154.4098061523428</c:v>
                </c:pt>
                <c:pt idx="26">
                  <c:v>5025.5495609985337</c:v>
                </c:pt>
                <c:pt idx="27">
                  <c:v>4899.9108219735699</c:v>
                </c:pt>
                <c:pt idx="28">
                  <c:v>4777.4130514242306</c:v>
                </c:pt>
                <c:pt idx="29">
                  <c:v>4657.9777251386249</c:v>
                </c:pt>
                <c:pt idx="30">
                  <c:v>4541.5282820101593</c:v>
                </c:pt>
                <c:pt idx="31">
                  <c:v>4427.9900749599055</c:v>
                </c:pt>
                <c:pt idx="32">
                  <c:v>4317.2903230859074</c:v>
                </c:pt>
                <c:pt idx="33">
                  <c:v>4209.3580650087597</c:v>
                </c:pt>
                <c:pt idx="34">
                  <c:v>4104.124113383541</c:v>
                </c:pt>
                <c:pt idx="35">
                  <c:v>4001.5210105489523</c:v>
                </c:pt>
                <c:pt idx="36">
                  <c:v>3901.4829852852286</c:v>
                </c:pt>
                <c:pt idx="37">
                  <c:v>3803.9459106530976</c:v>
                </c:pt>
                <c:pt idx="38">
                  <c:v>3708.8472628867703</c:v>
                </c:pt>
                <c:pt idx="39">
                  <c:v>3616.1260813146009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B8F-4C9C-B7A7-39934683D7EA}"/>
            </c:ext>
          </c:extLst>
        </c:ser>
        <c:ser>
          <c:idx val="20"/>
          <c:order val="20"/>
          <c:tx>
            <c:strRef>
              <c:f>'[1]Simple SaaS analysis'!$A$166</c:f>
              <c:strCache>
                <c:ptCount val="1"/>
                <c:pt idx="0">
                  <c:v>Cohort 21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analysis'!$B$166:$AO$166</c:f>
              <c:numCache>
                <c:formatCode>General</c:formatCode>
                <c:ptCount val="40"/>
                <c:pt idx="20">
                  <c:v>6000</c:v>
                </c:pt>
                <c:pt idx="21">
                  <c:v>5850</c:v>
                </c:pt>
                <c:pt idx="22">
                  <c:v>5703.75</c:v>
                </c:pt>
                <c:pt idx="23">
                  <c:v>5561.15625</c:v>
                </c:pt>
                <c:pt idx="24">
                  <c:v>5422.1273437499995</c:v>
                </c:pt>
                <c:pt idx="25">
                  <c:v>5286.5741601562495</c:v>
                </c:pt>
                <c:pt idx="26">
                  <c:v>5154.4098061523428</c:v>
                </c:pt>
                <c:pt idx="27">
                  <c:v>5025.5495609985337</c:v>
                </c:pt>
                <c:pt idx="28">
                  <c:v>4899.9108219735699</c:v>
                </c:pt>
                <c:pt idx="29">
                  <c:v>4777.4130514242306</c:v>
                </c:pt>
                <c:pt idx="30">
                  <c:v>4657.9777251386249</c:v>
                </c:pt>
                <c:pt idx="31">
                  <c:v>4541.5282820101593</c:v>
                </c:pt>
                <c:pt idx="32">
                  <c:v>4427.9900749599055</c:v>
                </c:pt>
                <c:pt idx="33">
                  <c:v>4317.2903230859074</c:v>
                </c:pt>
                <c:pt idx="34">
                  <c:v>4209.3580650087597</c:v>
                </c:pt>
                <c:pt idx="35">
                  <c:v>4104.124113383541</c:v>
                </c:pt>
                <c:pt idx="36">
                  <c:v>4001.5210105489523</c:v>
                </c:pt>
                <c:pt idx="37">
                  <c:v>3901.4829852852286</c:v>
                </c:pt>
                <c:pt idx="38">
                  <c:v>3803.9459106530976</c:v>
                </c:pt>
                <c:pt idx="39">
                  <c:v>3708.8472628867703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B8F-4C9C-B7A7-39934683D7EA}"/>
            </c:ext>
          </c:extLst>
        </c:ser>
        <c:ser>
          <c:idx val="21"/>
          <c:order val="21"/>
          <c:tx>
            <c:strRef>
              <c:f>'[1]Simple SaaS analysis'!$A$167</c:f>
              <c:strCache>
                <c:ptCount val="1"/>
                <c:pt idx="0">
                  <c:v>Cohort 22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analysis'!$B$167:$AO$167</c:f>
              <c:numCache>
                <c:formatCode>General</c:formatCode>
                <c:ptCount val="40"/>
                <c:pt idx="21">
                  <c:v>6000</c:v>
                </c:pt>
                <c:pt idx="22">
                  <c:v>5850</c:v>
                </c:pt>
                <c:pt idx="23">
                  <c:v>5703.75</c:v>
                </c:pt>
                <c:pt idx="24">
                  <c:v>5561.15625</c:v>
                </c:pt>
                <c:pt idx="25">
                  <c:v>5422.1273437499995</c:v>
                </c:pt>
                <c:pt idx="26">
                  <c:v>5286.5741601562495</c:v>
                </c:pt>
                <c:pt idx="27">
                  <c:v>5154.4098061523428</c:v>
                </c:pt>
                <c:pt idx="28">
                  <c:v>5025.5495609985337</c:v>
                </c:pt>
                <c:pt idx="29">
                  <c:v>4899.9108219735699</c:v>
                </c:pt>
                <c:pt idx="30">
                  <c:v>4777.4130514242306</c:v>
                </c:pt>
                <c:pt idx="31">
                  <c:v>4657.9777251386249</c:v>
                </c:pt>
                <c:pt idx="32">
                  <c:v>4541.5282820101593</c:v>
                </c:pt>
                <c:pt idx="33">
                  <c:v>4427.9900749599055</c:v>
                </c:pt>
                <c:pt idx="34">
                  <c:v>4317.2903230859074</c:v>
                </c:pt>
                <c:pt idx="35">
                  <c:v>4209.3580650087597</c:v>
                </c:pt>
                <c:pt idx="36">
                  <c:v>4104.124113383541</c:v>
                </c:pt>
                <c:pt idx="37">
                  <c:v>4001.5210105489523</c:v>
                </c:pt>
                <c:pt idx="38">
                  <c:v>3901.4829852852286</c:v>
                </c:pt>
                <c:pt idx="39">
                  <c:v>3803.9459106530976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B8F-4C9C-B7A7-39934683D7EA}"/>
            </c:ext>
          </c:extLst>
        </c:ser>
        <c:ser>
          <c:idx val="22"/>
          <c:order val="22"/>
          <c:tx>
            <c:strRef>
              <c:f>'[1]Simple SaaS analysis'!$A$168</c:f>
              <c:strCache>
                <c:ptCount val="1"/>
                <c:pt idx="0">
                  <c:v>Cohort 23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analysis'!$B$168:$AO$168</c:f>
              <c:numCache>
                <c:formatCode>General</c:formatCode>
                <c:ptCount val="40"/>
                <c:pt idx="22">
                  <c:v>6000</c:v>
                </c:pt>
                <c:pt idx="23">
                  <c:v>5850</c:v>
                </c:pt>
                <c:pt idx="24">
                  <c:v>5703.75</c:v>
                </c:pt>
                <c:pt idx="25">
                  <c:v>5561.15625</c:v>
                </c:pt>
                <c:pt idx="26">
                  <c:v>5422.1273437499995</c:v>
                </c:pt>
                <c:pt idx="27">
                  <c:v>5286.5741601562495</c:v>
                </c:pt>
                <c:pt idx="28">
                  <c:v>5154.4098061523428</c:v>
                </c:pt>
                <c:pt idx="29">
                  <c:v>5025.5495609985337</c:v>
                </c:pt>
                <c:pt idx="30">
                  <c:v>4899.9108219735699</c:v>
                </c:pt>
                <c:pt idx="31">
                  <c:v>4777.4130514242306</c:v>
                </c:pt>
                <c:pt idx="32">
                  <c:v>4657.9777251386249</c:v>
                </c:pt>
                <c:pt idx="33">
                  <c:v>4541.5282820101593</c:v>
                </c:pt>
                <c:pt idx="34">
                  <c:v>4427.9900749599055</c:v>
                </c:pt>
                <c:pt idx="35">
                  <c:v>4317.2903230859074</c:v>
                </c:pt>
                <c:pt idx="36">
                  <c:v>4209.3580650087597</c:v>
                </c:pt>
                <c:pt idx="37">
                  <c:v>4104.124113383541</c:v>
                </c:pt>
                <c:pt idx="38">
                  <c:v>4001.5210105489523</c:v>
                </c:pt>
                <c:pt idx="39">
                  <c:v>3901.4829852852286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B8F-4C9C-B7A7-39934683D7EA}"/>
            </c:ext>
          </c:extLst>
        </c:ser>
        <c:ser>
          <c:idx val="23"/>
          <c:order val="23"/>
          <c:tx>
            <c:strRef>
              <c:f>'[1]Simple SaaS analysis'!$A$169</c:f>
              <c:strCache>
                <c:ptCount val="1"/>
                <c:pt idx="0">
                  <c:v>Cohort 24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analysis'!$B$169:$AO$169</c:f>
              <c:numCache>
                <c:formatCode>General</c:formatCode>
                <c:ptCount val="40"/>
                <c:pt idx="23">
                  <c:v>6000</c:v>
                </c:pt>
                <c:pt idx="24">
                  <c:v>5850</c:v>
                </c:pt>
                <c:pt idx="25">
                  <c:v>5703.75</c:v>
                </c:pt>
                <c:pt idx="26">
                  <c:v>5561.15625</c:v>
                </c:pt>
                <c:pt idx="27">
                  <c:v>5422.1273437499995</c:v>
                </c:pt>
                <c:pt idx="28">
                  <c:v>5286.5741601562495</c:v>
                </c:pt>
                <c:pt idx="29">
                  <c:v>5154.4098061523428</c:v>
                </c:pt>
                <c:pt idx="30">
                  <c:v>5025.5495609985337</c:v>
                </c:pt>
                <c:pt idx="31">
                  <c:v>4899.9108219735699</c:v>
                </c:pt>
                <c:pt idx="32">
                  <c:v>4777.4130514242306</c:v>
                </c:pt>
                <c:pt idx="33">
                  <c:v>4657.9777251386249</c:v>
                </c:pt>
                <c:pt idx="34">
                  <c:v>4541.5282820101593</c:v>
                </c:pt>
                <c:pt idx="35">
                  <c:v>4427.9900749599055</c:v>
                </c:pt>
                <c:pt idx="36">
                  <c:v>4317.2903230859074</c:v>
                </c:pt>
                <c:pt idx="37">
                  <c:v>4209.3580650087597</c:v>
                </c:pt>
                <c:pt idx="38">
                  <c:v>4104.124113383541</c:v>
                </c:pt>
                <c:pt idx="39">
                  <c:v>4001.5210105489523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B8F-4C9C-B7A7-39934683D7EA}"/>
            </c:ext>
          </c:extLst>
        </c:ser>
        <c:ser>
          <c:idx val="24"/>
          <c:order val="24"/>
          <c:tx>
            <c:strRef>
              <c:f>'[1]Simple SaaS analysis'!$A$170</c:f>
              <c:strCache>
                <c:ptCount val="1"/>
                <c:pt idx="0">
                  <c:v>Cohort 25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analysis'!$B$170:$AO$170</c:f>
              <c:numCache>
                <c:formatCode>General</c:formatCode>
                <c:ptCount val="40"/>
                <c:pt idx="24">
                  <c:v>6000</c:v>
                </c:pt>
                <c:pt idx="25">
                  <c:v>5850</c:v>
                </c:pt>
                <c:pt idx="26">
                  <c:v>5703.75</c:v>
                </c:pt>
                <c:pt idx="27">
                  <c:v>5561.15625</c:v>
                </c:pt>
                <c:pt idx="28">
                  <c:v>5422.1273437499995</c:v>
                </c:pt>
                <c:pt idx="29">
                  <c:v>5286.5741601562495</c:v>
                </c:pt>
                <c:pt idx="30">
                  <c:v>5154.4098061523428</c:v>
                </c:pt>
                <c:pt idx="31">
                  <c:v>5025.5495609985337</c:v>
                </c:pt>
                <c:pt idx="32">
                  <c:v>4899.9108219735699</c:v>
                </c:pt>
                <c:pt idx="33">
                  <c:v>4777.4130514242306</c:v>
                </c:pt>
                <c:pt idx="34">
                  <c:v>4657.9777251386249</c:v>
                </c:pt>
                <c:pt idx="35">
                  <c:v>4541.5282820101593</c:v>
                </c:pt>
                <c:pt idx="36">
                  <c:v>4427.9900749599055</c:v>
                </c:pt>
                <c:pt idx="37">
                  <c:v>4317.2903230859074</c:v>
                </c:pt>
                <c:pt idx="38">
                  <c:v>4209.3580650087597</c:v>
                </c:pt>
                <c:pt idx="39">
                  <c:v>4104.124113383541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B8F-4C9C-B7A7-39934683D7EA}"/>
            </c:ext>
          </c:extLst>
        </c:ser>
        <c:ser>
          <c:idx val="25"/>
          <c:order val="25"/>
          <c:tx>
            <c:strRef>
              <c:f>'[1]Simple SaaS analysis'!$A$171</c:f>
              <c:strCache>
                <c:ptCount val="1"/>
                <c:pt idx="0">
                  <c:v>Cohort 26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analysis'!$B$171:$AO$171</c:f>
              <c:numCache>
                <c:formatCode>General</c:formatCode>
                <c:ptCount val="40"/>
                <c:pt idx="25">
                  <c:v>6000</c:v>
                </c:pt>
                <c:pt idx="26">
                  <c:v>5850</c:v>
                </c:pt>
                <c:pt idx="27">
                  <c:v>5703.75</c:v>
                </c:pt>
                <c:pt idx="28">
                  <c:v>5561.15625</c:v>
                </c:pt>
                <c:pt idx="29">
                  <c:v>5422.1273437499995</c:v>
                </c:pt>
                <c:pt idx="30">
                  <c:v>5286.5741601562495</c:v>
                </c:pt>
                <c:pt idx="31">
                  <c:v>5154.4098061523428</c:v>
                </c:pt>
                <c:pt idx="32">
                  <c:v>5025.5495609985337</c:v>
                </c:pt>
                <c:pt idx="33">
                  <c:v>4899.9108219735699</c:v>
                </c:pt>
                <c:pt idx="34">
                  <c:v>4777.4130514242306</c:v>
                </c:pt>
                <c:pt idx="35">
                  <c:v>4657.9777251386249</c:v>
                </c:pt>
                <c:pt idx="36">
                  <c:v>4541.5282820101593</c:v>
                </c:pt>
                <c:pt idx="37">
                  <c:v>4427.9900749599055</c:v>
                </c:pt>
                <c:pt idx="38">
                  <c:v>4317.2903230859074</c:v>
                </c:pt>
                <c:pt idx="39">
                  <c:v>4209.3580650087597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B8F-4C9C-B7A7-39934683D7EA}"/>
            </c:ext>
          </c:extLst>
        </c:ser>
        <c:ser>
          <c:idx val="26"/>
          <c:order val="26"/>
          <c:tx>
            <c:strRef>
              <c:f>'[1]Simple SaaS analysis'!$A$172</c:f>
              <c:strCache>
                <c:ptCount val="1"/>
                <c:pt idx="0">
                  <c:v>Cohort 27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analysis'!$B$172:$AO$172</c:f>
              <c:numCache>
                <c:formatCode>General</c:formatCode>
                <c:ptCount val="40"/>
                <c:pt idx="26">
                  <c:v>6000</c:v>
                </c:pt>
                <c:pt idx="27">
                  <c:v>5850</c:v>
                </c:pt>
                <c:pt idx="28">
                  <c:v>5703.75</c:v>
                </c:pt>
                <c:pt idx="29">
                  <c:v>5561.15625</c:v>
                </c:pt>
                <c:pt idx="30">
                  <c:v>5422.1273437499995</c:v>
                </c:pt>
                <c:pt idx="31">
                  <c:v>5286.5741601562495</c:v>
                </c:pt>
                <c:pt idx="32">
                  <c:v>5154.4098061523428</c:v>
                </c:pt>
                <c:pt idx="33">
                  <c:v>5025.5495609985337</c:v>
                </c:pt>
                <c:pt idx="34">
                  <c:v>4899.9108219735699</c:v>
                </c:pt>
                <c:pt idx="35">
                  <c:v>4777.4130514242306</c:v>
                </c:pt>
                <c:pt idx="36">
                  <c:v>4657.9777251386249</c:v>
                </c:pt>
                <c:pt idx="37">
                  <c:v>4541.5282820101593</c:v>
                </c:pt>
                <c:pt idx="38">
                  <c:v>4427.9900749599055</c:v>
                </c:pt>
                <c:pt idx="39">
                  <c:v>4317.2903230859074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B8F-4C9C-B7A7-39934683D7EA}"/>
            </c:ext>
          </c:extLst>
        </c:ser>
        <c:ser>
          <c:idx val="27"/>
          <c:order val="27"/>
          <c:tx>
            <c:strRef>
              <c:f>'[1]Simple SaaS analysis'!$A$173</c:f>
              <c:strCache>
                <c:ptCount val="1"/>
                <c:pt idx="0">
                  <c:v>Cohort 28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analysis'!$B$173:$AO$173</c:f>
              <c:numCache>
                <c:formatCode>General</c:formatCode>
                <c:ptCount val="40"/>
                <c:pt idx="27">
                  <c:v>6000</c:v>
                </c:pt>
                <c:pt idx="28">
                  <c:v>5850</c:v>
                </c:pt>
                <c:pt idx="29">
                  <c:v>5703.75</c:v>
                </c:pt>
                <c:pt idx="30">
                  <c:v>5561.15625</c:v>
                </c:pt>
                <c:pt idx="31">
                  <c:v>5422.1273437499995</c:v>
                </c:pt>
                <c:pt idx="32">
                  <c:v>5286.5741601562495</c:v>
                </c:pt>
                <c:pt idx="33">
                  <c:v>5154.4098061523428</c:v>
                </c:pt>
                <c:pt idx="34">
                  <c:v>5025.5495609985337</c:v>
                </c:pt>
                <c:pt idx="35">
                  <c:v>4899.9108219735699</c:v>
                </c:pt>
                <c:pt idx="36">
                  <c:v>4777.4130514242306</c:v>
                </c:pt>
                <c:pt idx="37">
                  <c:v>4657.9777251386249</c:v>
                </c:pt>
                <c:pt idx="38">
                  <c:v>4541.5282820101593</c:v>
                </c:pt>
                <c:pt idx="39">
                  <c:v>4427.9900749599055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B8F-4C9C-B7A7-39934683D7EA}"/>
            </c:ext>
          </c:extLst>
        </c:ser>
        <c:ser>
          <c:idx val="28"/>
          <c:order val="28"/>
          <c:tx>
            <c:strRef>
              <c:f>'[1]Simple SaaS analysis'!$A$174</c:f>
              <c:strCache>
                <c:ptCount val="1"/>
                <c:pt idx="0">
                  <c:v>Cohort 29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analysis'!$B$174:$AO$174</c:f>
              <c:numCache>
                <c:formatCode>General</c:formatCode>
                <c:ptCount val="40"/>
                <c:pt idx="28">
                  <c:v>6000</c:v>
                </c:pt>
                <c:pt idx="29">
                  <c:v>5850</c:v>
                </c:pt>
                <c:pt idx="30">
                  <c:v>5703.75</c:v>
                </c:pt>
                <c:pt idx="31">
                  <c:v>5561.15625</c:v>
                </c:pt>
                <c:pt idx="32">
                  <c:v>5422.1273437499995</c:v>
                </c:pt>
                <c:pt idx="33">
                  <c:v>5286.5741601562495</c:v>
                </c:pt>
                <c:pt idx="34">
                  <c:v>5154.4098061523428</c:v>
                </c:pt>
                <c:pt idx="35">
                  <c:v>5025.5495609985337</c:v>
                </c:pt>
                <c:pt idx="36">
                  <c:v>4899.9108219735699</c:v>
                </c:pt>
                <c:pt idx="37">
                  <c:v>4777.4130514242306</c:v>
                </c:pt>
                <c:pt idx="38">
                  <c:v>4657.9777251386249</c:v>
                </c:pt>
                <c:pt idx="39">
                  <c:v>4541.5282820101593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B8F-4C9C-B7A7-39934683D7EA}"/>
            </c:ext>
          </c:extLst>
        </c:ser>
        <c:ser>
          <c:idx val="29"/>
          <c:order val="29"/>
          <c:tx>
            <c:strRef>
              <c:f>'[1]Simple SaaS analysis'!$A$175</c:f>
              <c:strCache>
                <c:ptCount val="1"/>
                <c:pt idx="0">
                  <c:v>Cohort 30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analysis'!$B$175:$AO$175</c:f>
              <c:numCache>
                <c:formatCode>General</c:formatCode>
                <c:ptCount val="40"/>
                <c:pt idx="29">
                  <c:v>6000</c:v>
                </c:pt>
                <c:pt idx="30">
                  <c:v>5850</c:v>
                </c:pt>
                <c:pt idx="31">
                  <c:v>5703.75</c:v>
                </c:pt>
                <c:pt idx="32">
                  <c:v>5561.15625</c:v>
                </c:pt>
                <c:pt idx="33">
                  <c:v>5422.1273437499995</c:v>
                </c:pt>
                <c:pt idx="34">
                  <c:v>5286.5741601562495</c:v>
                </c:pt>
                <c:pt idx="35">
                  <c:v>5154.4098061523428</c:v>
                </c:pt>
                <c:pt idx="36">
                  <c:v>5025.5495609985337</c:v>
                </c:pt>
                <c:pt idx="37">
                  <c:v>4899.9108219735699</c:v>
                </c:pt>
                <c:pt idx="38">
                  <c:v>4777.4130514242306</c:v>
                </c:pt>
                <c:pt idx="39">
                  <c:v>4657.9777251386249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B8F-4C9C-B7A7-39934683D7EA}"/>
            </c:ext>
          </c:extLst>
        </c:ser>
        <c:ser>
          <c:idx val="30"/>
          <c:order val="30"/>
          <c:tx>
            <c:strRef>
              <c:f>'[1]Simple SaaS analysis'!$A$176</c:f>
              <c:strCache>
                <c:ptCount val="1"/>
                <c:pt idx="0">
                  <c:v>Cohort 31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analysis'!$B$176:$AO$176</c:f>
              <c:numCache>
                <c:formatCode>General</c:formatCode>
                <c:ptCount val="40"/>
                <c:pt idx="30">
                  <c:v>6000</c:v>
                </c:pt>
                <c:pt idx="31">
                  <c:v>5850</c:v>
                </c:pt>
                <c:pt idx="32">
                  <c:v>5703.75</c:v>
                </c:pt>
                <c:pt idx="33">
                  <c:v>5561.15625</c:v>
                </c:pt>
                <c:pt idx="34">
                  <c:v>5422.1273437499995</c:v>
                </c:pt>
                <c:pt idx="35">
                  <c:v>5286.5741601562495</c:v>
                </c:pt>
                <c:pt idx="36">
                  <c:v>5154.4098061523428</c:v>
                </c:pt>
                <c:pt idx="37">
                  <c:v>5025.5495609985337</c:v>
                </c:pt>
                <c:pt idx="38">
                  <c:v>4899.9108219735699</c:v>
                </c:pt>
                <c:pt idx="39">
                  <c:v>4777.4130514242306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B8F-4C9C-B7A7-39934683D7EA}"/>
            </c:ext>
          </c:extLst>
        </c:ser>
        <c:ser>
          <c:idx val="31"/>
          <c:order val="31"/>
          <c:tx>
            <c:strRef>
              <c:f>'[1]Simple SaaS analysis'!$A$177</c:f>
              <c:strCache>
                <c:ptCount val="1"/>
                <c:pt idx="0">
                  <c:v>Cohort 32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analysis'!$B$177:$AO$177</c:f>
              <c:numCache>
                <c:formatCode>General</c:formatCode>
                <c:ptCount val="40"/>
                <c:pt idx="31">
                  <c:v>6000</c:v>
                </c:pt>
                <c:pt idx="32">
                  <c:v>5850</c:v>
                </c:pt>
                <c:pt idx="33">
                  <c:v>5703.75</c:v>
                </c:pt>
                <c:pt idx="34">
                  <c:v>5561.15625</c:v>
                </c:pt>
                <c:pt idx="35">
                  <c:v>5422.1273437499995</c:v>
                </c:pt>
                <c:pt idx="36">
                  <c:v>5286.5741601562495</c:v>
                </c:pt>
                <c:pt idx="37">
                  <c:v>5154.4098061523428</c:v>
                </c:pt>
                <c:pt idx="38">
                  <c:v>5025.5495609985337</c:v>
                </c:pt>
                <c:pt idx="39">
                  <c:v>4899.9108219735699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B8F-4C9C-B7A7-39934683D7EA}"/>
            </c:ext>
          </c:extLst>
        </c:ser>
        <c:ser>
          <c:idx val="32"/>
          <c:order val="32"/>
          <c:tx>
            <c:strRef>
              <c:f>'[1]Simple SaaS analysis'!$A$178</c:f>
              <c:strCache>
                <c:ptCount val="1"/>
                <c:pt idx="0">
                  <c:v>Cohort 33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analysis'!$B$178:$AO$178</c:f>
              <c:numCache>
                <c:formatCode>General</c:formatCode>
                <c:ptCount val="40"/>
                <c:pt idx="32">
                  <c:v>6000</c:v>
                </c:pt>
                <c:pt idx="33">
                  <c:v>5850</c:v>
                </c:pt>
                <c:pt idx="34">
                  <c:v>5703.75</c:v>
                </c:pt>
                <c:pt idx="35">
                  <c:v>5561.15625</c:v>
                </c:pt>
                <c:pt idx="36">
                  <c:v>5422.1273437499995</c:v>
                </c:pt>
                <c:pt idx="37">
                  <c:v>5286.5741601562495</c:v>
                </c:pt>
                <c:pt idx="38">
                  <c:v>5154.4098061523428</c:v>
                </c:pt>
                <c:pt idx="39">
                  <c:v>5025.5495609985337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B8F-4C9C-B7A7-39934683D7EA}"/>
            </c:ext>
          </c:extLst>
        </c:ser>
        <c:ser>
          <c:idx val="33"/>
          <c:order val="33"/>
          <c:tx>
            <c:strRef>
              <c:f>'[1]Simple SaaS analysis'!$A$179</c:f>
              <c:strCache>
                <c:ptCount val="1"/>
                <c:pt idx="0">
                  <c:v>Cohort 34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analysis'!$B$179:$AO$179</c:f>
              <c:numCache>
                <c:formatCode>General</c:formatCode>
                <c:ptCount val="40"/>
                <c:pt idx="33">
                  <c:v>6000</c:v>
                </c:pt>
                <c:pt idx="34">
                  <c:v>5850</c:v>
                </c:pt>
                <c:pt idx="35">
                  <c:v>5703.75</c:v>
                </c:pt>
                <c:pt idx="36">
                  <c:v>5561.15625</c:v>
                </c:pt>
                <c:pt idx="37">
                  <c:v>5422.1273437499995</c:v>
                </c:pt>
                <c:pt idx="38">
                  <c:v>5286.5741601562495</c:v>
                </c:pt>
                <c:pt idx="39">
                  <c:v>5154.4098061523428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2B8F-4C9C-B7A7-39934683D7EA}"/>
            </c:ext>
          </c:extLst>
        </c:ser>
        <c:ser>
          <c:idx val="34"/>
          <c:order val="34"/>
          <c:tx>
            <c:strRef>
              <c:f>'[1]Simple SaaS analysis'!$A$180</c:f>
              <c:strCache>
                <c:ptCount val="1"/>
                <c:pt idx="0">
                  <c:v>Cohort 35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analysis'!$B$180:$AO$180</c:f>
              <c:numCache>
                <c:formatCode>General</c:formatCode>
                <c:ptCount val="40"/>
                <c:pt idx="34">
                  <c:v>6000</c:v>
                </c:pt>
                <c:pt idx="35">
                  <c:v>5850</c:v>
                </c:pt>
                <c:pt idx="36">
                  <c:v>5703.75</c:v>
                </c:pt>
                <c:pt idx="37">
                  <c:v>5561.15625</c:v>
                </c:pt>
                <c:pt idx="38">
                  <c:v>5422.1273437499995</c:v>
                </c:pt>
                <c:pt idx="39">
                  <c:v>5286.5741601562495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B8F-4C9C-B7A7-39934683D7EA}"/>
            </c:ext>
          </c:extLst>
        </c:ser>
        <c:ser>
          <c:idx val="35"/>
          <c:order val="35"/>
          <c:tx>
            <c:strRef>
              <c:f>'[1]Simple SaaS analysis'!$A$181</c:f>
              <c:strCache>
                <c:ptCount val="1"/>
                <c:pt idx="0">
                  <c:v>Cohort 36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analysis'!$B$181:$AO$181</c:f>
              <c:numCache>
                <c:formatCode>General</c:formatCode>
                <c:ptCount val="40"/>
                <c:pt idx="35">
                  <c:v>6000</c:v>
                </c:pt>
                <c:pt idx="36">
                  <c:v>5850</c:v>
                </c:pt>
                <c:pt idx="37">
                  <c:v>5703.75</c:v>
                </c:pt>
                <c:pt idx="38">
                  <c:v>5561.15625</c:v>
                </c:pt>
                <c:pt idx="39">
                  <c:v>5422.1273437499995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B8F-4C9C-B7A7-39934683D7EA}"/>
            </c:ext>
          </c:extLst>
        </c:ser>
        <c:ser>
          <c:idx val="36"/>
          <c:order val="36"/>
          <c:tx>
            <c:strRef>
              <c:f>'[1]Simple SaaS analysis'!$A$182</c:f>
              <c:strCache>
                <c:ptCount val="1"/>
                <c:pt idx="0">
                  <c:v>Cohort 37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analysis'!$B$182:$AO$182</c:f>
              <c:numCache>
                <c:formatCode>General</c:formatCode>
                <c:ptCount val="40"/>
                <c:pt idx="36">
                  <c:v>6000</c:v>
                </c:pt>
                <c:pt idx="37">
                  <c:v>5850</c:v>
                </c:pt>
                <c:pt idx="38">
                  <c:v>5703.75</c:v>
                </c:pt>
                <c:pt idx="39">
                  <c:v>5561.15625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B8F-4C9C-B7A7-39934683D7EA}"/>
            </c:ext>
          </c:extLst>
        </c:ser>
        <c:ser>
          <c:idx val="37"/>
          <c:order val="37"/>
          <c:tx>
            <c:strRef>
              <c:f>'[1]Simple SaaS analysis'!$A$183</c:f>
              <c:strCache>
                <c:ptCount val="1"/>
                <c:pt idx="0">
                  <c:v>Cohort 38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analysis'!$B$183:$AO$183</c:f>
              <c:numCache>
                <c:formatCode>General</c:formatCode>
                <c:ptCount val="40"/>
                <c:pt idx="37">
                  <c:v>6000</c:v>
                </c:pt>
                <c:pt idx="38">
                  <c:v>5850</c:v>
                </c:pt>
                <c:pt idx="39">
                  <c:v>5703.75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2B8F-4C9C-B7A7-39934683D7EA}"/>
            </c:ext>
          </c:extLst>
        </c:ser>
        <c:ser>
          <c:idx val="38"/>
          <c:order val="38"/>
          <c:tx>
            <c:strRef>
              <c:f>'[1]Simple SaaS analysis'!$A$184</c:f>
              <c:strCache>
                <c:ptCount val="1"/>
                <c:pt idx="0">
                  <c:v>Cohort 39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analysis'!$B$184:$AO$184</c:f>
              <c:numCache>
                <c:formatCode>General</c:formatCode>
                <c:ptCount val="40"/>
                <c:pt idx="38">
                  <c:v>6000</c:v>
                </c:pt>
                <c:pt idx="39">
                  <c:v>5850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2B8F-4C9C-B7A7-39934683D7EA}"/>
            </c:ext>
          </c:extLst>
        </c:ser>
        <c:ser>
          <c:idx val="39"/>
          <c:order val="39"/>
          <c:tx>
            <c:strRef>
              <c:f>'[1]Simple SaaS analysis'!$A$185</c:f>
              <c:strCache>
                <c:ptCount val="1"/>
                <c:pt idx="0">
                  <c:v>Cohort 40</c:v>
                </c:pt>
              </c:strCache>
            </c:strRef>
          </c:tx>
          <c:cat>
            <c:strRef>
              <c:f>'[1]Simple SaaS analysis'!$B$145:$AO$145</c:f>
              <c:strCache>
                <c:ptCount val="4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</c:strCache>
            </c:strRef>
          </c:cat>
          <c:val>
            <c:numRef>
              <c:f>'[1]Simple SaaS analysis'!$B$185:$AO$185</c:f>
              <c:numCache>
                <c:formatCode>General</c:formatCode>
                <c:ptCount val="40"/>
                <c:pt idx="39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2B8F-4C9C-B7A7-39934683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86884800"/>
        <c:axId val="-1241999216"/>
      </c:areaChart>
      <c:catAx>
        <c:axId val="-118688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241999216"/>
        <c:crosses val="autoZero"/>
        <c:auto val="1"/>
        <c:lblAlgn val="ctr"/>
        <c:lblOffset val="100"/>
        <c:noMultiLvlLbl val="0"/>
      </c:catAx>
      <c:valAx>
        <c:axId val="-1241999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1186884800"/>
        <c:crosses val="autoZero"/>
        <c:crossBetween val="midCat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Impact of Faster Growth on P&amp;L/Cash Flow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'[1]Simple SaaS analysis'!$A$70</c:f>
              <c:strCache>
                <c:ptCount val="1"/>
                <c:pt idx="0">
                  <c:v>Growth Rate: 2 more custs per mnth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'[1]Simple SaaS analysis'!$B$69:$BI$69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analysis'!$B$70:$BI$70</c:f>
              <c:numCache>
                <c:formatCode>General</c:formatCode>
                <c:ptCount val="60"/>
                <c:pt idx="0">
                  <c:v>-55200</c:v>
                </c:pt>
                <c:pt idx="1">
                  <c:v>-116640</c:v>
                </c:pt>
                <c:pt idx="2">
                  <c:v>-183840</c:v>
                </c:pt>
                <c:pt idx="3">
                  <c:v>-255840</c:v>
                </c:pt>
                <c:pt idx="4">
                  <c:v>-331680</c:v>
                </c:pt>
                <c:pt idx="5">
                  <c:v>-410880</c:v>
                </c:pt>
                <c:pt idx="6">
                  <c:v>-492480</c:v>
                </c:pt>
                <c:pt idx="7">
                  <c:v>-576000</c:v>
                </c:pt>
                <c:pt idx="8">
                  <c:v>-660480</c:v>
                </c:pt>
                <c:pt idx="9">
                  <c:v>-745440</c:v>
                </c:pt>
                <c:pt idx="10">
                  <c:v>-829920</c:v>
                </c:pt>
                <c:pt idx="11">
                  <c:v>-913440</c:v>
                </c:pt>
                <c:pt idx="12">
                  <c:v>-995520</c:v>
                </c:pt>
                <c:pt idx="13">
                  <c:v>-1075200</c:v>
                </c:pt>
                <c:pt idx="14">
                  <c:v>-1152000</c:v>
                </c:pt>
                <c:pt idx="15">
                  <c:v>-1225440</c:v>
                </c:pt>
                <c:pt idx="16">
                  <c:v>-1295040</c:v>
                </c:pt>
                <c:pt idx="17">
                  <c:v>-1360320</c:v>
                </c:pt>
                <c:pt idx="18">
                  <c:v>-1420320</c:v>
                </c:pt>
                <c:pt idx="19">
                  <c:v>-1474560</c:v>
                </c:pt>
                <c:pt idx="20">
                  <c:v>-1522560</c:v>
                </c:pt>
                <c:pt idx="21">
                  <c:v>-1563840</c:v>
                </c:pt>
                <c:pt idx="22">
                  <c:v>-1597920</c:v>
                </c:pt>
                <c:pt idx="23">
                  <c:v>-1624320</c:v>
                </c:pt>
                <c:pt idx="24">
                  <c:v>-1642560</c:v>
                </c:pt>
                <c:pt idx="25">
                  <c:v>-1652160</c:v>
                </c:pt>
                <c:pt idx="26">
                  <c:v>-1652640</c:v>
                </c:pt>
                <c:pt idx="27">
                  <c:v>-1643520</c:v>
                </c:pt>
                <c:pt idx="28">
                  <c:v>-1624320</c:v>
                </c:pt>
                <c:pt idx="29">
                  <c:v>-1595040</c:v>
                </c:pt>
                <c:pt idx="30">
                  <c:v>-1555200</c:v>
                </c:pt>
                <c:pt idx="31">
                  <c:v>-1504320</c:v>
                </c:pt>
                <c:pt idx="32">
                  <c:v>-1441920</c:v>
                </c:pt>
                <c:pt idx="33">
                  <c:v>-1367520</c:v>
                </c:pt>
                <c:pt idx="34">
                  <c:v>-1281120</c:v>
                </c:pt>
                <c:pt idx="35">
                  <c:v>-1182240</c:v>
                </c:pt>
                <c:pt idx="36">
                  <c:v>-1070400</c:v>
                </c:pt>
                <c:pt idx="37">
                  <c:v>-945120</c:v>
                </c:pt>
                <c:pt idx="38">
                  <c:v>-806400</c:v>
                </c:pt>
                <c:pt idx="39">
                  <c:v>-653760</c:v>
                </c:pt>
                <c:pt idx="40">
                  <c:v>-486720</c:v>
                </c:pt>
                <c:pt idx="41">
                  <c:v>-305280</c:v>
                </c:pt>
                <c:pt idx="42">
                  <c:v>-108960</c:v>
                </c:pt>
                <c:pt idx="43">
                  <c:v>102240</c:v>
                </c:pt>
                <c:pt idx="44">
                  <c:v>328800</c:v>
                </c:pt>
                <c:pt idx="45">
                  <c:v>571200</c:v>
                </c:pt>
                <c:pt idx="46">
                  <c:v>829440</c:v>
                </c:pt>
                <c:pt idx="47">
                  <c:v>1104000</c:v>
                </c:pt>
                <c:pt idx="48">
                  <c:v>1394880</c:v>
                </c:pt>
                <c:pt idx="49">
                  <c:v>1702560</c:v>
                </c:pt>
                <c:pt idx="50">
                  <c:v>2027040</c:v>
                </c:pt>
                <c:pt idx="51">
                  <c:v>2368800</c:v>
                </c:pt>
                <c:pt idx="52">
                  <c:v>2727840</c:v>
                </c:pt>
                <c:pt idx="53">
                  <c:v>3104640</c:v>
                </c:pt>
                <c:pt idx="54">
                  <c:v>3499200</c:v>
                </c:pt>
                <c:pt idx="55">
                  <c:v>3912000</c:v>
                </c:pt>
                <c:pt idx="56">
                  <c:v>4343040</c:v>
                </c:pt>
                <c:pt idx="57">
                  <c:v>4792320</c:v>
                </c:pt>
                <c:pt idx="58">
                  <c:v>5260320</c:v>
                </c:pt>
                <c:pt idx="59">
                  <c:v>5747040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C-4AB2-B568-7D13CD55DDF8}"/>
            </c:ext>
          </c:extLst>
        </c:ser>
        <c:ser>
          <c:idx val="1"/>
          <c:order val="1"/>
          <c:tx>
            <c:strRef>
              <c:f>'[1]Simple SaaS analysis'!$A$71</c:f>
              <c:strCache>
                <c:ptCount val="1"/>
                <c:pt idx="0">
                  <c:v>Growth Rate: 5 more custs per mnth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'[1]Simple SaaS analysis'!$B$69:$BI$69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analysis'!$B$71:$BI$71</c:f>
              <c:numCache>
                <c:formatCode>General</c:formatCode>
                <c:ptCount val="60"/>
                <c:pt idx="0">
                  <c:v>-55200</c:v>
                </c:pt>
                <c:pt idx="1">
                  <c:v>-133200</c:v>
                </c:pt>
                <c:pt idx="2">
                  <c:v>-232080</c:v>
                </c:pt>
                <c:pt idx="3">
                  <c:v>-349440</c:v>
                </c:pt>
                <c:pt idx="4">
                  <c:v>-483360</c:v>
                </c:pt>
                <c:pt idx="5">
                  <c:v>-631440</c:v>
                </c:pt>
                <c:pt idx="6">
                  <c:v>-791760</c:v>
                </c:pt>
                <c:pt idx="7">
                  <c:v>-962400</c:v>
                </c:pt>
                <c:pt idx="8">
                  <c:v>-1141440</c:v>
                </c:pt>
                <c:pt idx="9">
                  <c:v>-1326960</c:v>
                </c:pt>
                <c:pt idx="10">
                  <c:v>-1517520</c:v>
                </c:pt>
                <c:pt idx="11">
                  <c:v>-1711200</c:v>
                </c:pt>
                <c:pt idx="12">
                  <c:v>-1906080</c:v>
                </c:pt>
                <c:pt idx="13">
                  <c:v>-2100720</c:v>
                </c:pt>
                <c:pt idx="14">
                  <c:v>-2293200</c:v>
                </c:pt>
                <c:pt idx="15">
                  <c:v>-2482080</c:v>
                </c:pt>
                <c:pt idx="16">
                  <c:v>-2665920</c:v>
                </c:pt>
                <c:pt idx="17">
                  <c:v>-2843280</c:v>
                </c:pt>
                <c:pt idx="18">
                  <c:v>-3012240</c:v>
                </c:pt>
                <c:pt idx="19">
                  <c:v>-3171360</c:v>
                </c:pt>
                <c:pt idx="20">
                  <c:v>-3319680</c:v>
                </c:pt>
                <c:pt idx="21">
                  <c:v>-3455760</c:v>
                </c:pt>
                <c:pt idx="22">
                  <c:v>-3578160</c:v>
                </c:pt>
                <c:pt idx="23">
                  <c:v>-3685440</c:v>
                </c:pt>
                <c:pt idx="24">
                  <c:v>-3776160</c:v>
                </c:pt>
                <c:pt idx="25">
                  <c:v>-3849360</c:v>
                </c:pt>
                <c:pt idx="26">
                  <c:v>-3903600</c:v>
                </c:pt>
                <c:pt idx="27">
                  <c:v>-3937920</c:v>
                </c:pt>
                <c:pt idx="28">
                  <c:v>-3951360</c:v>
                </c:pt>
                <c:pt idx="29">
                  <c:v>-3942480</c:v>
                </c:pt>
                <c:pt idx="30">
                  <c:v>-3910320</c:v>
                </c:pt>
                <c:pt idx="31">
                  <c:v>-3853920</c:v>
                </c:pt>
                <c:pt idx="32">
                  <c:v>-3772320</c:v>
                </c:pt>
                <c:pt idx="33">
                  <c:v>-3664080</c:v>
                </c:pt>
                <c:pt idx="34">
                  <c:v>-3528240</c:v>
                </c:pt>
                <c:pt idx="35">
                  <c:v>-3363840</c:v>
                </c:pt>
                <c:pt idx="36">
                  <c:v>-3169920</c:v>
                </c:pt>
                <c:pt idx="37">
                  <c:v>-2945520</c:v>
                </c:pt>
                <c:pt idx="38">
                  <c:v>-2690160</c:v>
                </c:pt>
                <c:pt idx="39">
                  <c:v>-2402880</c:v>
                </c:pt>
                <c:pt idx="40">
                  <c:v>-2082720</c:v>
                </c:pt>
                <c:pt idx="41">
                  <c:v>-1728720</c:v>
                </c:pt>
                <c:pt idx="42">
                  <c:v>-1340400</c:v>
                </c:pt>
                <c:pt idx="43">
                  <c:v>-916800</c:v>
                </c:pt>
                <c:pt idx="44">
                  <c:v>-456960</c:v>
                </c:pt>
                <c:pt idx="45">
                  <c:v>39600</c:v>
                </c:pt>
                <c:pt idx="46">
                  <c:v>573840</c:v>
                </c:pt>
                <c:pt idx="47">
                  <c:v>1146240</c:v>
                </c:pt>
                <c:pt idx="48">
                  <c:v>1757760</c:v>
                </c:pt>
                <c:pt idx="49">
                  <c:v>2408880</c:v>
                </c:pt>
                <c:pt idx="50">
                  <c:v>3100080</c:v>
                </c:pt>
                <c:pt idx="51">
                  <c:v>3832320</c:v>
                </c:pt>
                <c:pt idx="52">
                  <c:v>4606080</c:v>
                </c:pt>
                <c:pt idx="53">
                  <c:v>5421840</c:v>
                </c:pt>
                <c:pt idx="54">
                  <c:v>6280560</c:v>
                </c:pt>
                <c:pt idx="55">
                  <c:v>7182720</c:v>
                </c:pt>
                <c:pt idx="56">
                  <c:v>8128800</c:v>
                </c:pt>
                <c:pt idx="57">
                  <c:v>9119280</c:v>
                </c:pt>
                <c:pt idx="58">
                  <c:v>10154640</c:v>
                </c:pt>
                <c:pt idx="59">
                  <c:v>11235360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C-4AB2-B568-7D13CD55DDF8}"/>
            </c:ext>
          </c:extLst>
        </c:ser>
        <c:ser>
          <c:idx val="2"/>
          <c:order val="2"/>
          <c:tx>
            <c:strRef>
              <c:f>'[1]Simple SaaS analysis'!$A$72</c:f>
              <c:strCache>
                <c:ptCount val="1"/>
                <c:pt idx="0">
                  <c:v>Growth Rate: 10 more custs per mnth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'[1]Simple SaaS analysis'!$B$69:$BI$69</c:f>
              <c:strCache>
                <c:ptCount val="60"/>
                <c:pt idx="0">
                  <c:v>Month 1</c:v>
                </c:pt>
                <c:pt idx="1">
                  <c:v>Month 2</c:v>
                </c:pt>
                <c:pt idx="2">
                  <c:v>Month 3</c:v>
                </c:pt>
                <c:pt idx="3">
                  <c:v>Month 4</c:v>
                </c:pt>
                <c:pt idx="4">
                  <c:v>Month 5</c:v>
                </c:pt>
                <c:pt idx="5">
                  <c:v>Month 6</c:v>
                </c:pt>
                <c:pt idx="6">
                  <c:v>Month 7</c:v>
                </c:pt>
                <c:pt idx="7">
                  <c:v>Month 8</c:v>
                </c:pt>
                <c:pt idx="8">
                  <c:v>Month 9</c:v>
                </c:pt>
                <c:pt idx="9">
                  <c:v>Month 10</c:v>
                </c:pt>
                <c:pt idx="10">
                  <c:v>Month 11</c:v>
                </c:pt>
                <c:pt idx="11">
                  <c:v>Month 12</c:v>
                </c:pt>
                <c:pt idx="12">
                  <c:v>Month 13</c:v>
                </c:pt>
                <c:pt idx="13">
                  <c:v>Month 14</c:v>
                </c:pt>
                <c:pt idx="14">
                  <c:v>Month 15</c:v>
                </c:pt>
                <c:pt idx="15">
                  <c:v>Month 16</c:v>
                </c:pt>
                <c:pt idx="16">
                  <c:v>Month 17</c:v>
                </c:pt>
                <c:pt idx="17">
                  <c:v>Month 18</c:v>
                </c:pt>
                <c:pt idx="18">
                  <c:v>Month 19</c:v>
                </c:pt>
                <c:pt idx="19">
                  <c:v>Month 20</c:v>
                </c:pt>
                <c:pt idx="20">
                  <c:v>Month 21</c:v>
                </c:pt>
                <c:pt idx="21">
                  <c:v>Month 22</c:v>
                </c:pt>
                <c:pt idx="22">
                  <c:v>Month 23</c:v>
                </c:pt>
                <c:pt idx="23">
                  <c:v>Month 24</c:v>
                </c:pt>
                <c:pt idx="24">
                  <c:v>Month 25</c:v>
                </c:pt>
                <c:pt idx="25">
                  <c:v>Month 26</c:v>
                </c:pt>
                <c:pt idx="26">
                  <c:v>Month 27</c:v>
                </c:pt>
                <c:pt idx="27">
                  <c:v>Month 28</c:v>
                </c:pt>
                <c:pt idx="28">
                  <c:v>Month 29</c:v>
                </c:pt>
                <c:pt idx="29">
                  <c:v>Month 30</c:v>
                </c:pt>
                <c:pt idx="30">
                  <c:v>Month 31</c:v>
                </c:pt>
                <c:pt idx="31">
                  <c:v>Month 32</c:v>
                </c:pt>
                <c:pt idx="32">
                  <c:v>Month 33</c:v>
                </c:pt>
                <c:pt idx="33">
                  <c:v>Month 34</c:v>
                </c:pt>
                <c:pt idx="34">
                  <c:v>Month 35</c:v>
                </c:pt>
                <c:pt idx="35">
                  <c:v>Month 36</c:v>
                </c:pt>
                <c:pt idx="36">
                  <c:v>Month 37</c:v>
                </c:pt>
                <c:pt idx="37">
                  <c:v>Month 38</c:v>
                </c:pt>
                <c:pt idx="38">
                  <c:v>Month 39</c:v>
                </c:pt>
                <c:pt idx="39">
                  <c:v>Month 40</c:v>
                </c:pt>
                <c:pt idx="40">
                  <c:v>Month 41</c:v>
                </c:pt>
                <c:pt idx="41">
                  <c:v>Month 42</c:v>
                </c:pt>
                <c:pt idx="42">
                  <c:v>Month 43</c:v>
                </c:pt>
                <c:pt idx="43">
                  <c:v>Month 44</c:v>
                </c:pt>
                <c:pt idx="44">
                  <c:v>Month 45</c:v>
                </c:pt>
                <c:pt idx="45">
                  <c:v>Month 46</c:v>
                </c:pt>
                <c:pt idx="46">
                  <c:v>Month 47</c:v>
                </c:pt>
                <c:pt idx="47">
                  <c:v>Month 48</c:v>
                </c:pt>
                <c:pt idx="48">
                  <c:v>Month 49</c:v>
                </c:pt>
                <c:pt idx="49">
                  <c:v>Month 50</c:v>
                </c:pt>
                <c:pt idx="50">
                  <c:v>Month 51</c:v>
                </c:pt>
                <c:pt idx="51">
                  <c:v>Month 52</c:v>
                </c:pt>
                <c:pt idx="52">
                  <c:v>Month 53</c:v>
                </c:pt>
                <c:pt idx="53">
                  <c:v>Month 54</c:v>
                </c:pt>
                <c:pt idx="54">
                  <c:v>Month 55</c:v>
                </c:pt>
                <c:pt idx="55">
                  <c:v>Month 56</c:v>
                </c:pt>
                <c:pt idx="56">
                  <c:v>Month 57</c:v>
                </c:pt>
                <c:pt idx="57">
                  <c:v>Month 58</c:v>
                </c:pt>
                <c:pt idx="58">
                  <c:v>Month 59</c:v>
                </c:pt>
                <c:pt idx="59">
                  <c:v>Month 60</c:v>
                </c:pt>
              </c:strCache>
            </c:strRef>
          </c:cat>
          <c:val>
            <c:numRef>
              <c:f>'[1]Simple SaaS analysis'!$B$72:$BI$72</c:f>
              <c:numCache>
                <c:formatCode>General</c:formatCode>
                <c:ptCount val="60"/>
                <c:pt idx="0">
                  <c:v>-55200</c:v>
                </c:pt>
                <c:pt idx="1">
                  <c:v>-160800</c:v>
                </c:pt>
                <c:pt idx="2">
                  <c:v>-312480</c:v>
                </c:pt>
                <c:pt idx="3">
                  <c:v>-505440</c:v>
                </c:pt>
                <c:pt idx="4">
                  <c:v>-735360</c:v>
                </c:pt>
                <c:pt idx="5">
                  <c:v>-998400</c:v>
                </c:pt>
                <c:pt idx="6">
                  <c:v>-1290240</c:v>
                </c:pt>
                <c:pt idx="7">
                  <c:v>-1607040</c:v>
                </c:pt>
                <c:pt idx="8">
                  <c:v>-1944960</c:v>
                </c:pt>
                <c:pt idx="9">
                  <c:v>-2300160</c:v>
                </c:pt>
                <c:pt idx="10">
                  <c:v>-2668800</c:v>
                </c:pt>
                <c:pt idx="11">
                  <c:v>-3047040</c:v>
                </c:pt>
                <c:pt idx="12">
                  <c:v>-3431520</c:v>
                </c:pt>
                <c:pt idx="13">
                  <c:v>-3818880</c:v>
                </c:pt>
                <c:pt idx="14">
                  <c:v>-4205760</c:v>
                </c:pt>
                <c:pt idx="15">
                  <c:v>-4588800</c:v>
                </c:pt>
                <c:pt idx="16">
                  <c:v>-4964640</c:v>
                </c:pt>
                <c:pt idx="17">
                  <c:v>-5330400</c:v>
                </c:pt>
                <c:pt idx="18">
                  <c:v>-5682720</c:v>
                </c:pt>
                <c:pt idx="19">
                  <c:v>-6018720</c:v>
                </c:pt>
                <c:pt idx="20">
                  <c:v>-6335520</c:v>
                </c:pt>
                <c:pt idx="21">
                  <c:v>-6630240</c:v>
                </c:pt>
                <c:pt idx="22">
                  <c:v>-6900000</c:v>
                </c:pt>
                <c:pt idx="23">
                  <c:v>-7142400</c:v>
                </c:pt>
                <c:pt idx="24">
                  <c:v>-7354560</c:v>
                </c:pt>
                <c:pt idx="25">
                  <c:v>-7534080</c:v>
                </c:pt>
                <c:pt idx="26">
                  <c:v>-7678560</c:v>
                </c:pt>
                <c:pt idx="27">
                  <c:v>-7785600</c:v>
                </c:pt>
                <c:pt idx="28">
                  <c:v>-7852800</c:v>
                </c:pt>
                <c:pt idx="29">
                  <c:v>-7877760</c:v>
                </c:pt>
                <c:pt idx="30">
                  <c:v>-7858080</c:v>
                </c:pt>
                <c:pt idx="31">
                  <c:v>-7791840</c:v>
                </c:pt>
                <c:pt idx="32">
                  <c:v>-7676640</c:v>
                </c:pt>
                <c:pt idx="33">
                  <c:v>-7510560</c:v>
                </c:pt>
                <c:pt idx="34">
                  <c:v>-7291680</c:v>
                </c:pt>
                <c:pt idx="35">
                  <c:v>-7018080</c:v>
                </c:pt>
                <c:pt idx="36">
                  <c:v>-6687840</c:v>
                </c:pt>
                <c:pt idx="37">
                  <c:v>-6299040</c:v>
                </c:pt>
                <c:pt idx="38">
                  <c:v>-5849760</c:v>
                </c:pt>
                <c:pt idx="39">
                  <c:v>-5338080</c:v>
                </c:pt>
                <c:pt idx="40">
                  <c:v>-4762560</c:v>
                </c:pt>
                <c:pt idx="41">
                  <c:v>-4121280</c:v>
                </c:pt>
                <c:pt idx="42">
                  <c:v>-3412800</c:v>
                </c:pt>
                <c:pt idx="43">
                  <c:v>-2635200</c:v>
                </c:pt>
                <c:pt idx="44">
                  <c:v>-1787040</c:v>
                </c:pt>
                <c:pt idx="45">
                  <c:v>-866880</c:v>
                </c:pt>
                <c:pt idx="46">
                  <c:v>126720</c:v>
                </c:pt>
                <c:pt idx="47">
                  <c:v>1195200</c:v>
                </c:pt>
                <c:pt idx="48">
                  <c:v>2340000</c:v>
                </c:pt>
                <c:pt idx="49">
                  <c:v>3562560</c:v>
                </c:pt>
                <c:pt idx="50">
                  <c:v>4864320</c:v>
                </c:pt>
                <c:pt idx="51">
                  <c:v>6246720</c:v>
                </c:pt>
                <c:pt idx="52">
                  <c:v>7710720</c:v>
                </c:pt>
                <c:pt idx="53">
                  <c:v>9257760</c:v>
                </c:pt>
                <c:pt idx="54">
                  <c:v>10889280</c:v>
                </c:pt>
                <c:pt idx="55">
                  <c:v>12606240</c:v>
                </c:pt>
                <c:pt idx="56">
                  <c:v>14410080</c:v>
                </c:pt>
                <c:pt idx="57">
                  <c:v>16301760</c:v>
                </c:pt>
                <c:pt idx="58">
                  <c:v>18282240</c:v>
                </c:pt>
                <c:pt idx="59">
                  <c:v>20352480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C-4AB2-B568-7D13CD55D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204277904"/>
        <c:axId val="-1289240096"/>
      </c:lineChart>
      <c:catAx>
        <c:axId val="-120427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89240096"/>
        <c:crosses val="autoZero"/>
        <c:auto val="1"/>
        <c:lblAlgn val="ctr"/>
        <c:lblOffset val="100"/>
        <c:noMultiLvlLbl val="0"/>
      </c:catAx>
      <c:valAx>
        <c:axId val="-12892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0427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Step 4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Step 4 a'!A1"/><Relationship Id="rId1" Type="http://schemas.openxmlformats.org/officeDocument/2006/relationships/hyperlink" Target="#'Congruity of Thought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Step 4 a'!A1"/><Relationship Id="rId1" Type="http://schemas.openxmlformats.org/officeDocument/2006/relationships/hyperlink" Target="#'Congruity of Thought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Step 4 a'!A1"/><Relationship Id="rId1" Type="http://schemas.openxmlformats.org/officeDocument/2006/relationships/hyperlink" Target="#'Congruity of Thought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Step 4 a'!A1"/><Relationship Id="rId1" Type="http://schemas.openxmlformats.org/officeDocument/2006/relationships/hyperlink" Target="#'Congruity of Thought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Business Dev. Strategy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Current Modified'!A1"/><Relationship Id="rId2" Type="http://schemas.openxmlformats.org/officeDocument/2006/relationships/hyperlink" Target="#'Current Current'!A1"/><Relationship Id="rId1" Type="http://schemas.openxmlformats.org/officeDocument/2006/relationships/hyperlink" Target="#'Congruity of Thought'!A1"/><Relationship Id="rId6" Type="http://schemas.openxmlformats.org/officeDocument/2006/relationships/hyperlink" Target="#Risks!A1"/><Relationship Id="rId5" Type="http://schemas.openxmlformats.org/officeDocument/2006/relationships/hyperlink" Target="#' Modified Modified'!A1"/><Relationship Id="rId4" Type="http://schemas.openxmlformats.org/officeDocument/2006/relationships/hyperlink" Target="#' Modified Current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Outcome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Outcome Current Modified'!A1"/><Relationship Id="rId2" Type="http://schemas.openxmlformats.org/officeDocument/2006/relationships/hyperlink" Target="#'Outcome Current Current'!A1"/><Relationship Id="rId1" Type="http://schemas.openxmlformats.org/officeDocument/2006/relationships/hyperlink" Target="#'Congruity of Thought'!A1"/><Relationship Id="rId6" Type="http://schemas.openxmlformats.org/officeDocument/2006/relationships/hyperlink" Target="#'Consolidated Outcomes'!A1"/><Relationship Id="rId5" Type="http://schemas.openxmlformats.org/officeDocument/2006/relationships/hyperlink" Target="#'Outcome Modified Modified'!A1"/><Relationship Id="rId4" Type="http://schemas.openxmlformats.org/officeDocument/2006/relationships/hyperlink" Target="#'Outcome Modified Current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Outcome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Outcomes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Outcomes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Outcomes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hyperlink" Target="#Content!A1"/><Relationship Id="rId1" Type="http://schemas.openxmlformats.org/officeDocument/2006/relationships/image" Target="../media/image28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Business Dev. Strategy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Business Dev. Strategy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Business Dev. Strategy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Business Dev. Strategy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Step 11'!A1"/><Relationship Id="rId3" Type="http://schemas.openxmlformats.org/officeDocument/2006/relationships/hyperlink" Target="#'Step 5'!A1"/><Relationship Id="rId7" Type="http://schemas.openxmlformats.org/officeDocument/2006/relationships/hyperlink" Target="#'Step 9'!A1"/><Relationship Id="rId12" Type="http://schemas.openxmlformats.org/officeDocument/2006/relationships/hyperlink" Target="#'Step 7'!A1"/><Relationship Id="rId2" Type="http://schemas.openxmlformats.org/officeDocument/2006/relationships/hyperlink" Target="#'Step 10'!A1"/><Relationship Id="rId1" Type="http://schemas.openxmlformats.org/officeDocument/2006/relationships/hyperlink" Target="#Implementation!A1"/><Relationship Id="rId6" Type="http://schemas.openxmlformats.org/officeDocument/2006/relationships/hyperlink" Target="#'Step 12'!A1"/><Relationship Id="rId11" Type="http://schemas.openxmlformats.org/officeDocument/2006/relationships/hyperlink" Target="#'Step 15'!A1"/><Relationship Id="rId5" Type="http://schemas.openxmlformats.org/officeDocument/2006/relationships/hyperlink" Target="#'Step 6'!A1"/><Relationship Id="rId10" Type="http://schemas.openxmlformats.org/officeDocument/2006/relationships/hyperlink" Target="#'Step 14'!A1"/><Relationship Id="rId4" Type="http://schemas.openxmlformats.org/officeDocument/2006/relationships/hyperlink" Target="#'Step 8'!A1"/><Relationship Id="rId9" Type="http://schemas.openxmlformats.org/officeDocument/2006/relationships/hyperlink" Target="#'Step 13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Content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Congruity of Thought'!A1"/><Relationship Id="rId2" Type="http://schemas.openxmlformats.org/officeDocument/2006/relationships/hyperlink" Target="#'First Page'!A1"/><Relationship Id="rId1" Type="http://schemas.openxmlformats.org/officeDocument/2006/relationships/hyperlink" Target="#Purpos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Implementation Current Modified'!A1"/><Relationship Id="rId2" Type="http://schemas.openxmlformats.org/officeDocument/2006/relationships/hyperlink" Target="#'Implementation Current Current'!A1"/><Relationship Id="rId1" Type="http://schemas.openxmlformats.org/officeDocument/2006/relationships/hyperlink" Target="#'Congruity of Thought'!A1"/><Relationship Id="rId5" Type="http://schemas.openxmlformats.org/officeDocument/2006/relationships/hyperlink" Target="#'Implementation Modified Modifie'!A1"/><Relationship Id="rId4" Type="http://schemas.openxmlformats.org/officeDocument/2006/relationships/hyperlink" Target="#'Implementation Modified Current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Gap Analysis'!A1"/><Relationship Id="rId3" Type="http://schemas.openxmlformats.org/officeDocument/2006/relationships/hyperlink" Target="#'Strategic Thrust'!A1"/><Relationship Id="rId7" Type="http://schemas.openxmlformats.org/officeDocument/2006/relationships/hyperlink" Target="#Outcomes!A1"/><Relationship Id="rId2" Type="http://schemas.openxmlformats.org/officeDocument/2006/relationships/hyperlink" Target="#'Series A Targets'!A1"/><Relationship Id="rId1" Type="http://schemas.openxmlformats.org/officeDocument/2006/relationships/hyperlink" Target="#Content!A1"/><Relationship Id="rId6" Type="http://schemas.openxmlformats.org/officeDocument/2006/relationships/hyperlink" Target="#Implementation!A1"/><Relationship Id="rId5" Type="http://schemas.openxmlformats.org/officeDocument/2006/relationships/hyperlink" Target="#'Business Dev. Strategy'!A1"/><Relationship Id="rId4" Type="http://schemas.openxmlformats.org/officeDocument/2006/relationships/hyperlink" Target="#'Master Business Mode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image" Target="../media/image3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ep 11'!A1"/><Relationship Id="rId3" Type="http://schemas.openxmlformats.org/officeDocument/2006/relationships/hyperlink" Target="#'Step 5'!A1"/><Relationship Id="rId7" Type="http://schemas.openxmlformats.org/officeDocument/2006/relationships/hyperlink" Target="#'Step 9'!A1"/><Relationship Id="rId12" Type="http://schemas.openxmlformats.org/officeDocument/2006/relationships/hyperlink" Target="#'Step 7'!A1"/><Relationship Id="rId2" Type="http://schemas.openxmlformats.org/officeDocument/2006/relationships/hyperlink" Target="#'Step 10'!A1"/><Relationship Id="rId1" Type="http://schemas.openxmlformats.org/officeDocument/2006/relationships/hyperlink" Target="#Implementation!A1"/><Relationship Id="rId6" Type="http://schemas.openxmlformats.org/officeDocument/2006/relationships/hyperlink" Target="#'Step 12'!A1"/><Relationship Id="rId11" Type="http://schemas.openxmlformats.org/officeDocument/2006/relationships/hyperlink" Target="#'Step 15'!A1"/><Relationship Id="rId5" Type="http://schemas.openxmlformats.org/officeDocument/2006/relationships/hyperlink" Target="#'Step 6'!A1"/><Relationship Id="rId10" Type="http://schemas.openxmlformats.org/officeDocument/2006/relationships/hyperlink" Target="#'Step 14'!A1"/><Relationship Id="rId4" Type="http://schemas.openxmlformats.org/officeDocument/2006/relationships/hyperlink" Target="#'Step 8'!A1"/><Relationship Id="rId9" Type="http://schemas.openxmlformats.org/officeDocument/2006/relationships/hyperlink" Target="#'Step 13'!A1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" Type="http://schemas.openxmlformats.org/officeDocument/2006/relationships/chart" Target="../charts/chart33.xml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Step 11'!A1"/><Relationship Id="rId3" Type="http://schemas.openxmlformats.org/officeDocument/2006/relationships/hyperlink" Target="#'Step 5'!A1"/><Relationship Id="rId7" Type="http://schemas.openxmlformats.org/officeDocument/2006/relationships/hyperlink" Target="#'Step 9'!A1"/><Relationship Id="rId12" Type="http://schemas.openxmlformats.org/officeDocument/2006/relationships/hyperlink" Target="#'Step 7'!A1"/><Relationship Id="rId2" Type="http://schemas.openxmlformats.org/officeDocument/2006/relationships/hyperlink" Target="#'Step 10'!A1"/><Relationship Id="rId1" Type="http://schemas.openxmlformats.org/officeDocument/2006/relationships/hyperlink" Target="#Implementation!A1"/><Relationship Id="rId6" Type="http://schemas.openxmlformats.org/officeDocument/2006/relationships/hyperlink" Target="#'Step 12'!A1"/><Relationship Id="rId11" Type="http://schemas.openxmlformats.org/officeDocument/2006/relationships/hyperlink" Target="#'Step 15'!A1"/><Relationship Id="rId5" Type="http://schemas.openxmlformats.org/officeDocument/2006/relationships/hyperlink" Target="#'Step 6'!A1"/><Relationship Id="rId10" Type="http://schemas.openxmlformats.org/officeDocument/2006/relationships/hyperlink" Target="#'Step 14'!A1"/><Relationship Id="rId4" Type="http://schemas.openxmlformats.org/officeDocument/2006/relationships/hyperlink" Target="#'Step 8'!A1"/><Relationship Id="rId9" Type="http://schemas.openxmlformats.org/officeDocument/2006/relationships/hyperlink" Target="#'Step 13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Step 11'!A1"/><Relationship Id="rId3" Type="http://schemas.openxmlformats.org/officeDocument/2006/relationships/hyperlink" Target="#'Step 5'!A1"/><Relationship Id="rId7" Type="http://schemas.openxmlformats.org/officeDocument/2006/relationships/hyperlink" Target="#'Step 9'!A1"/><Relationship Id="rId12" Type="http://schemas.openxmlformats.org/officeDocument/2006/relationships/hyperlink" Target="#'Step 7'!A1"/><Relationship Id="rId2" Type="http://schemas.openxmlformats.org/officeDocument/2006/relationships/hyperlink" Target="#'Step 10'!A1"/><Relationship Id="rId1" Type="http://schemas.openxmlformats.org/officeDocument/2006/relationships/hyperlink" Target="#Implementation!A1"/><Relationship Id="rId6" Type="http://schemas.openxmlformats.org/officeDocument/2006/relationships/hyperlink" Target="#'Step 12'!A1"/><Relationship Id="rId11" Type="http://schemas.openxmlformats.org/officeDocument/2006/relationships/hyperlink" Target="#'Step 15'!A1"/><Relationship Id="rId5" Type="http://schemas.openxmlformats.org/officeDocument/2006/relationships/hyperlink" Target="#'Step 6'!A1"/><Relationship Id="rId10" Type="http://schemas.openxmlformats.org/officeDocument/2006/relationships/hyperlink" Target="#'Step 14'!A1"/><Relationship Id="rId4" Type="http://schemas.openxmlformats.org/officeDocument/2006/relationships/hyperlink" Target="#'Step 8'!A1"/><Relationship Id="rId9" Type="http://schemas.openxmlformats.org/officeDocument/2006/relationships/hyperlink" Target="#'Step 13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Step 11'!A1"/><Relationship Id="rId3" Type="http://schemas.openxmlformats.org/officeDocument/2006/relationships/hyperlink" Target="#'Step 5'!A1"/><Relationship Id="rId7" Type="http://schemas.openxmlformats.org/officeDocument/2006/relationships/hyperlink" Target="#'Step 9'!A1"/><Relationship Id="rId12" Type="http://schemas.openxmlformats.org/officeDocument/2006/relationships/hyperlink" Target="#'Step 7'!A1"/><Relationship Id="rId2" Type="http://schemas.openxmlformats.org/officeDocument/2006/relationships/hyperlink" Target="#'Step 10'!A1"/><Relationship Id="rId1" Type="http://schemas.openxmlformats.org/officeDocument/2006/relationships/hyperlink" Target="#Implementation!A1"/><Relationship Id="rId6" Type="http://schemas.openxmlformats.org/officeDocument/2006/relationships/hyperlink" Target="#'Step 12'!A1"/><Relationship Id="rId11" Type="http://schemas.openxmlformats.org/officeDocument/2006/relationships/hyperlink" Target="#'Step 15'!A1"/><Relationship Id="rId5" Type="http://schemas.openxmlformats.org/officeDocument/2006/relationships/hyperlink" Target="#'Step 6'!A1"/><Relationship Id="rId10" Type="http://schemas.openxmlformats.org/officeDocument/2006/relationships/hyperlink" Target="#'Step 14'!A1"/><Relationship Id="rId4" Type="http://schemas.openxmlformats.org/officeDocument/2006/relationships/hyperlink" Target="#'Step 8'!A1"/><Relationship Id="rId9" Type="http://schemas.openxmlformats.org/officeDocument/2006/relationships/hyperlink" Target="#'Step 13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Congruity of Thought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3.emf"/><Relationship Id="rId7" Type="http://schemas.openxmlformats.org/officeDocument/2006/relationships/image" Target="../media/image15.emf"/><Relationship Id="rId2" Type="http://schemas.openxmlformats.org/officeDocument/2006/relationships/image" Target="../media/image2.emf"/><Relationship Id="rId1" Type="http://schemas.openxmlformats.org/officeDocument/2006/relationships/image" Target="../media/image12.emf"/><Relationship Id="rId6" Type="http://schemas.openxmlformats.org/officeDocument/2006/relationships/image" Target="../media/image14.emf"/><Relationship Id="rId11" Type="http://schemas.openxmlformats.org/officeDocument/2006/relationships/image" Target="../media/image11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openxmlformats.org/officeDocument/2006/relationships/image" Target="../media/image4.emf"/><Relationship Id="rId9" Type="http://schemas.openxmlformats.org/officeDocument/2006/relationships/image" Target="../media/image1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27.emf"/><Relationship Id="rId3" Type="http://schemas.openxmlformats.org/officeDocument/2006/relationships/image" Target="../media/image22.emf"/><Relationship Id="rId7" Type="http://schemas.openxmlformats.org/officeDocument/2006/relationships/image" Target="../media/image26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12397</xdr:colOff>
      <xdr:row>1</xdr:row>
      <xdr:rowOff>83760</xdr:rowOff>
    </xdr:from>
    <xdr:to>
      <xdr:col>34</xdr:col>
      <xdr:colOff>10886</xdr:colOff>
      <xdr:row>7</xdr:row>
      <xdr:rowOff>36285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717DDB0-E2BE-4837-9C98-1532F21B50B9}"/>
            </a:ext>
          </a:extLst>
        </xdr:cNvPr>
        <xdr:cNvSpPr txBox="1"/>
      </xdr:nvSpPr>
      <xdr:spPr>
        <a:xfrm>
          <a:off x="17004997" y="268817"/>
          <a:ext cx="1794632" cy="10628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Holdings.</a:t>
          </a:r>
          <a:r>
            <a:rPr lang="en-US" sz="1400"/>
            <a:t> Inc.</a:t>
          </a:r>
        </a:p>
        <a:p>
          <a:pPr algn="ctr"/>
          <a:endParaRPr lang="en-US" sz="1100"/>
        </a:p>
      </xdr:txBody>
    </xdr:sp>
    <xdr:clientData/>
  </xdr:twoCellAnchor>
  <xdr:twoCellAnchor>
    <xdr:from>
      <xdr:col>1</xdr:col>
      <xdr:colOff>380999</xdr:colOff>
      <xdr:row>0</xdr:row>
      <xdr:rowOff>114301</xdr:rowOff>
    </xdr:from>
    <xdr:to>
      <xdr:col>8</xdr:col>
      <xdr:colOff>250371</xdr:colOff>
      <xdr:row>3</xdr:row>
      <xdr:rowOff>130628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9DA21F2-EAEE-4566-BC76-932F1B724C71}"/>
            </a:ext>
          </a:extLst>
        </xdr:cNvPr>
        <xdr:cNvSpPr txBox="1"/>
      </xdr:nvSpPr>
      <xdr:spPr>
        <a:xfrm>
          <a:off x="380999" y="114301"/>
          <a:ext cx="4212772" cy="571498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2400" b="1">
              <a:solidFill>
                <a:schemeClr val="accent6">
                  <a:lumMod val="75000"/>
                </a:schemeClr>
              </a:solidFill>
              <a:latin typeface="Lucida Bright" panose="02040602050505020304" pitchFamily="18" charset="0"/>
            </a:rPr>
            <a:t>Balanced</a:t>
          </a:r>
          <a:r>
            <a:rPr lang="en-US" sz="2400" b="1" baseline="0">
              <a:solidFill>
                <a:schemeClr val="accent6">
                  <a:lumMod val="75000"/>
                </a:schemeClr>
              </a:solidFill>
              <a:latin typeface="Lucida Bright" panose="02040602050505020304" pitchFamily="18" charset="0"/>
            </a:rPr>
            <a:t>  Equation V.1</a:t>
          </a:r>
          <a:endParaRPr lang="en-US" sz="2400" b="1">
            <a:solidFill>
              <a:schemeClr val="accent6">
                <a:lumMod val="75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6</xdr:col>
      <xdr:colOff>214994</xdr:colOff>
      <xdr:row>14</xdr:row>
      <xdr:rowOff>84365</xdr:rowOff>
    </xdr:from>
    <xdr:to>
      <xdr:col>8</xdr:col>
      <xdr:colOff>576944</xdr:colOff>
      <xdr:row>17</xdr:row>
      <xdr:rowOff>176893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9578B82-8067-48F0-826B-335F294098AD}"/>
            </a:ext>
          </a:extLst>
        </xdr:cNvPr>
        <xdr:cNvSpPr txBox="1"/>
      </xdr:nvSpPr>
      <xdr:spPr>
        <a:xfrm>
          <a:off x="835480" y="3807279"/>
          <a:ext cx="1602921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a) Proposed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 Capital Rise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266700</xdr:colOff>
          <xdr:row>16</xdr:row>
          <xdr:rowOff>171450</xdr:rowOff>
        </xdr:from>
        <xdr:to>
          <xdr:col>12</xdr:col>
          <xdr:colOff>19050</xdr:colOff>
          <xdr:row>18</xdr:row>
          <xdr:rowOff>47625</xdr:rowOff>
        </xdr:to>
        <xdr:sp macro="" textlink="">
          <xdr:nvSpPr>
            <xdr:cNvPr id="106497" name="ScrollBar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1F315C61-167C-4F16-B860-BCF53A8E17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359228</xdr:colOff>
      <xdr:row>8</xdr:row>
      <xdr:rowOff>151039</xdr:rowOff>
    </xdr:from>
    <xdr:to>
      <xdr:col>16</xdr:col>
      <xdr:colOff>174171</xdr:colOff>
      <xdr:row>11</xdr:row>
      <xdr:rowOff>108857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A4559E5-D3BD-4BF7-A1A2-F88E3688FDF8}"/>
            </a:ext>
          </a:extLst>
        </xdr:cNvPr>
        <xdr:cNvSpPr txBox="1"/>
      </xdr:nvSpPr>
      <xdr:spPr>
        <a:xfrm>
          <a:off x="6836228" y="2001610"/>
          <a:ext cx="2525486" cy="53476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Lucida Bright" panose="02040602050505020304" pitchFamily="18" charset="0"/>
            </a:rPr>
            <a:t>1 st 12 months # of Paying 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Patients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11</xdr:row>
          <xdr:rowOff>19050</xdr:rowOff>
        </xdr:from>
        <xdr:to>
          <xdr:col>18</xdr:col>
          <xdr:colOff>590550</xdr:colOff>
          <xdr:row>12</xdr:row>
          <xdr:rowOff>9525</xdr:rowOff>
        </xdr:to>
        <xdr:sp macro="" textlink="">
          <xdr:nvSpPr>
            <xdr:cNvPr id="106498" name="ScrollBar2" hidden="1">
              <a:extLst>
                <a:ext uri="{63B3BB69-23CF-44E3-9099-C40C66FF867C}">
                  <a14:compatExt spid="_x0000_s106498"/>
                </a:ext>
                <a:ext uri="{FF2B5EF4-FFF2-40B4-BE49-F238E27FC236}">
                  <a16:creationId xmlns:a16="http://schemas.microsoft.com/office/drawing/2014/main" id="{88179818-C664-4AA2-A136-D8D0596DF5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370114</xdr:colOff>
      <xdr:row>12</xdr:row>
      <xdr:rowOff>180973</xdr:rowOff>
    </xdr:from>
    <xdr:to>
      <xdr:col>16</xdr:col>
      <xdr:colOff>228600</xdr:colOff>
      <xdr:row>16</xdr:row>
      <xdr:rowOff>10886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364D38-3167-4EDE-BBBF-63BA5FF60DA2}"/>
            </a:ext>
          </a:extLst>
        </xdr:cNvPr>
        <xdr:cNvSpPr txBox="1"/>
      </xdr:nvSpPr>
      <xdr:spPr>
        <a:xfrm>
          <a:off x="6847114" y="2793544"/>
          <a:ext cx="2569029" cy="5701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Lucida Bright" panose="02040602050505020304" pitchFamily="18" charset="0"/>
            </a:rPr>
            <a:t>2nd 12 months # of Paying 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Patients </a:t>
          </a:r>
        </a:p>
      </xdr:txBody>
    </xdr:sp>
    <xdr:clientData/>
  </xdr:twoCellAnchor>
  <xdr:twoCellAnchor>
    <xdr:from>
      <xdr:col>12</xdr:col>
      <xdr:colOff>380999</xdr:colOff>
      <xdr:row>21</xdr:row>
      <xdr:rowOff>8707</xdr:rowOff>
    </xdr:from>
    <xdr:to>
      <xdr:col>16</xdr:col>
      <xdr:colOff>163285</xdr:colOff>
      <xdr:row>24</xdr:row>
      <xdr:rowOff>43543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6E1EA63-1B58-4292-BA00-DF3F28B8CB5F}"/>
            </a:ext>
          </a:extLst>
        </xdr:cNvPr>
        <xdr:cNvSpPr txBox="1"/>
      </xdr:nvSpPr>
      <xdr:spPr>
        <a:xfrm>
          <a:off x="6857999" y="4286793"/>
          <a:ext cx="2492829" cy="5900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00" baseline="0">
              <a:latin typeface="Lucida Bright" panose="02040602050505020304" pitchFamily="18" charset="0"/>
            </a:rPr>
            <a:t>4th 12 months # of Paying 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Patients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15</xdr:row>
          <xdr:rowOff>0</xdr:rowOff>
        </xdr:from>
        <xdr:to>
          <xdr:col>18</xdr:col>
          <xdr:colOff>590550</xdr:colOff>
          <xdr:row>16</xdr:row>
          <xdr:rowOff>66675</xdr:rowOff>
        </xdr:to>
        <xdr:sp macro="" textlink="">
          <xdr:nvSpPr>
            <xdr:cNvPr id="106499" name="ScrollBar3" hidden="1">
              <a:extLst>
                <a:ext uri="{63B3BB69-23CF-44E3-9099-C40C66FF867C}">
                  <a14:compatExt spid="_x0000_s106499"/>
                </a:ext>
                <a:ext uri="{FF2B5EF4-FFF2-40B4-BE49-F238E27FC236}">
                  <a16:creationId xmlns:a16="http://schemas.microsoft.com/office/drawing/2014/main" id="{6C334C82-24F1-4A42-871C-4B7A67F3AA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19</xdr:row>
          <xdr:rowOff>0</xdr:rowOff>
        </xdr:from>
        <xdr:to>
          <xdr:col>18</xdr:col>
          <xdr:colOff>590550</xdr:colOff>
          <xdr:row>20</xdr:row>
          <xdr:rowOff>66675</xdr:rowOff>
        </xdr:to>
        <xdr:sp macro="" textlink="">
          <xdr:nvSpPr>
            <xdr:cNvPr id="106500" name="ScrollBar4" hidden="1">
              <a:extLst>
                <a:ext uri="{63B3BB69-23CF-44E3-9099-C40C66FF867C}">
                  <a14:compatExt spid="_x0000_s106500"/>
                </a:ext>
                <a:ext uri="{FF2B5EF4-FFF2-40B4-BE49-F238E27FC236}">
                  <a16:creationId xmlns:a16="http://schemas.microsoft.com/office/drawing/2014/main" id="{DB41B67C-7E8D-46D8-B730-770259B506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23</xdr:row>
          <xdr:rowOff>28575</xdr:rowOff>
        </xdr:from>
        <xdr:to>
          <xdr:col>19</xdr:col>
          <xdr:colOff>9525</xdr:colOff>
          <xdr:row>24</xdr:row>
          <xdr:rowOff>85725</xdr:rowOff>
        </xdr:to>
        <xdr:sp macro="" textlink="">
          <xdr:nvSpPr>
            <xdr:cNvPr id="106501" name="ScrollBar5" hidden="1">
              <a:extLst>
                <a:ext uri="{63B3BB69-23CF-44E3-9099-C40C66FF867C}">
                  <a14:compatExt spid="_x0000_s106501"/>
                </a:ext>
                <a:ext uri="{FF2B5EF4-FFF2-40B4-BE49-F238E27FC236}">
                  <a16:creationId xmlns:a16="http://schemas.microsoft.com/office/drawing/2014/main" id="{9E261611-2D43-46EC-A192-574F63208A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17993</xdr:colOff>
      <xdr:row>4</xdr:row>
      <xdr:rowOff>105833</xdr:rowOff>
    </xdr:from>
    <xdr:to>
      <xdr:col>20</xdr:col>
      <xdr:colOff>21167</xdr:colOff>
      <xdr:row>8</xdr:row>
      <xdr:rowOff>185208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579E3B8-1D35-4092-B11C-EE3C132A036A}"/>
            </a:ext>
          </a:extLst>
        </xdr:cNvPr>
        <xdr:cNvSpPr txBox="1"/>
      </xdr:nvSpPr>
      <xdr:spPr>
        <a:xfrm>
          <a:off x="9733493" y="837353"/>
          <a:ext cx="1031874" cy="8108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Revenue/Patient</a:t>
          </a:r>
        </a:p>
      </xdr:txBody>
    </xdr:sp>
    <xdr:clientData/>
  </xdr:twoCellAnchor>
  <xdr:twoCellAnchor>
    <xdr:from>
      <xdr:col>20</xdr:col>
      <xdr:colOff>232834</xdr:colOff>
      <xdr:row>4</xdr:row>
      <xdr:rowOff>120649</xdr:rowOff>
    </xdr:from>
    <xdr:to>
      <xdr:col>22</xdr:col>
      <xdr:colOff>224366</xdr:colOff>
      <xdr:row>9</xdr:row>
      <xdr:rowOff>9524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AA71775-04F7-4B90-AF4D-5310B9906D90}"/>
            </a:ext>
          </a:extLst>
        </xdr:cNvPr>
        <xdr:cNvSpPr txBox="1"/>
      </xdr:nvSpPr>
      <xdr:spPr>
        <a:xfrm>
          <a:off x="10977034" y="852169"/>
          <a:ext cx="1050712" cy="803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12 month Revenue/Patient</a:t>
          </a:r>
        </a:p>
      </xdr:txBody>
    </xdr:sp>
    <xdr:clientData/>
  </xdr:twoCellAnchor>
  <xdr:twoCellAnchor>
    <xdr:from>
      <xdr:col>24</xdr:col>
      <xdr:colOff>21168</xdr:colOff>
      <xdr:row>4</xdr:row>
      <xdr:rowOff>114299</xdr:rowOff>
    </xdr:from>
    <xdr:to>
      <xdr:col>25</xdr:col>
      <xdr:colOff>550334</xdr:colOff>
      <xdr:row>8</xdr:row>
      <xdr:rowOff>158750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28F1629-48B5-452A-9A80-BB07DC3984EF}"/>
            </a:ext>
          </a:extLst>
        </xdr:cNvPr>
        <xdr:cNvSpPr txBox="1"/>
      </xdr:nvSpPr>
      <xdr:spPr>
        <a:xfrm>
          <a:off x="12190308" y="845819"/>
          <a:ext cx="1154006" cy="7759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12 month Revenue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all patients</a:t>
          </a:r>
        </a:p>
      </xdr:txBody>
    </xdr:sp>
    <xdr:clientData/>
  </xdr:twoCellAnchor>
  <xdr:twoCellAnchor>
    <xdr:from>
      <xdr:col>5</xdr:col>
      <xdr:colOff>617159</xdr:colOff>
      <xdr:row>29</xdr:row>
      <xdr:rowOff>46564</xdr:rowOff>
    </xdr:from>
    <xdr:to>
      <xdr:col>8</xdr:col>
      <xdr:colOff>598714</xdr:colOff>
      <xdr:row>33</xdr:row>
      <xdr:rowOff>152400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09EE5A3-D161-4AD2-8E5A-AABB231E7096}"/>
            </a:ext>
          </a:extLst>
        </xdr:cNvPr>
        <xdr:cNvSpPr txBox="1"/>
      </xdr:nvSpPr>
      <xdr:spPr>
        <a:xfrm>
          <a:off x="617159" y="5990164"/>
          <a:ext cx="1843012" cy="954922"/>
        </a:xfrm>
        <a:prstGeom prst="rect">
          <a:avLst/>
        </a:prstGeom>
        <a:solidFill>
          <a:schemeClr val="accent4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Return Multiplier  this Capital Investment (x)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31</xdr:row>
          <xdr:rowOff>171450</xdr:rowOff>
        </xdr:from>
        <xdr:to>
          <xdr:col>12</xdr:col>
          <xdr:colOff>0</xdr:colOff>
          <xdr:row>33</xdr:row>
          <xdr:rowOff>9525</xdr:rowOff>
        </xdr:to>
        <xdr:sp macro="" textlink="">
          <xdr:nvSpPr>
            <xdr:cNvPr id="106502" name="ScrollBar6" hidden="1">
              <a:extLst>
                <a:ext uri="{63B3BB69-23CF-44E3-9099-C40C66FF867C}">
                  <a14:compatExt spid="_x0000_s106502"/>
                </a:ext>
                <a:ext uri="{FF2B5EF4-FFF2-40B4-BE49-F238E27FC236}">
                  <a16:creationId xmlns:a16="http://schemas.microsoft.com/office/drawing/2014/main" id="{4D31F1A3-9FEE-4A58-AA43-92A35B2813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587829</xdr:colOff>
      <xdr:row>9</xdr:row>
      <xdr:rowOff>1</xdr:rowOff>
    </xdr:from>
    <xdr:to>
      <xdr:col>8</xdr:col>
      <xdr:colOff>587830</xdr:colOff>
      <xdr:row>11</xdr:row>
      <xdr:rowOff>147865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76D44D7-0F10-4658-9929-A7888936BAB5}"/>
            </a:ext>
          </a:extLst>
        </xdr:cNvPr>
        <xdr:cNvSpPr txBox="1"/>
      </xdr:nvSpPr>
      <xdr:spPr>
        <a:xfrm>
          <a:off x="3069772" y="2035630"/>
          <a:ext cx="1861458" cy="5397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Current Pre-Money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</xdr:colOff>
          <xdr:row>11</xdr:row>
          <xdr:rowOff>0</xdr:rowOff>
        </xdr:from>
        <xdr:to>
          <xdr:col>19</xdr:col>
          <xdr:colOff>1123950</xdr:colOff>
          <xdr:row>12</xdr:row>
          <xdr:rowOff>28575</xdr:rowOff>
        </xdr:to>
        <xdr:sp macro="" textlink="">
          <xdr:nvSpPr>
            <xdr:cNvPr id="106503" name="ScrollBar7" hidden="1">
              <a:extLst>
                <a:ext uri="{63B3BB69-23CF-44E3-9099-C40C66FF867C}">
                  <a14:compatExt spid="_x0000_s106503"/>
                </a:ext>
                <a:ext uri="{FF2B5EF4-FFF2-40B4-BE49-F238E27FC236}">
                  <a16:creationId xmlns:a16="http://schemas.microsoft.com/office/drawing/2014/main" id="{418D3FDA-AE6F-4D34-81A6-A784EF4DEB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15</xdr:row>
          <xdr:rowOff>19050</xdr:rowOff>
        </xdr:from>
        <xdr:to>
          <xdr:col>19</xdr:col>
          <xdr:colOff>1123950</xdr:colOff>
          <xdr:row>16</xdr:row>
          <xdr:rowOff>133350</xdr:rowOff>
        </xdr:to>
        <xdr:sp macro="" textlink="">
          <xdr:nvSpPr>
            <xdr:cNvPr id="106504" name="ScrollBar8" hidden="1">
              <a:extLst>
                <a:ext uri="{63B3BB69-23CF-44E3-9099-C40C66FF867C}">
                  <a14:compatExt spid="_x0000_s106504"/>
                </a:ext>
                <a:ext uri="{FF2B5EF4-FFF2-40B4-BE49-F238E27FC236}">
                  <a16:creationId xmlns:a16="http://schemas.microsoft.com/office/drawing/2014/main" id="{C7A7C48C-FB64-47FD-A4C7-AF55A42398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19</xdr:row>
          <xdr:rowOff>19050</xdr:rowOff>
        </xdr:from>
        <xdr:to>
          <xdr:col>19</xdr:col>
          <xdr:colOff>1157968</xdr:colOff>
          <xdr:row>20</xdr:row>
          <xdr:rowOff>123825</xdr:rowOff>
        </xdr:to>
        <xdr:sp macro="" textlink="">
          <xdr:nvSpPr>
            <xdr:cNvPr id="106505" name="ScrollBar9" hidden="1">
              <a:extLst>
                <a:ext uri="{63B3BB69-23CF-44E3-9099-C40C66FF867C}">
                  <a14:compatExt spid="_x0000_s106505"/>
                </a:ext>
                <a:ext uri="{FF2B5EF4-FFF2-40B4-BE49-F238E27FC236}">
                  <a16:creationId xmlns:a16="http://schemas.microsoft.com/office/drawing/2014/main" id="{EA11E219-C8FE-4FE6-8482-1E06A8A3A4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23</xdr:row>
          <xdr:rowOff>19050</xdr:rowOff>
        </xdr:from>
        <xdr:to>
          <xdr:col>19</xdr:col>
          <xdr:colOff>1157968</xdr:colOff>
          <xdr:row>24</xdr:row>
          <xdr:rowOff>123825</xdr:rowOff>
        </xdr:to>
        <xdr:sp macro="" textlink="">
          <xdr:nvSpPr>
            <xdr:cNvPr id="106506" name="ScrollBar10" hidden="1">
              <a:extLst>
                <a:ext uri="{63B3BB69-23CF-44E3-9099-C40C66FF867C}">
                  <a14:compatExt spid="_x0000_s106506"/>
                </a:ext>
                <a:ext uri="{FF2B5EF4-FFF2-40B4-BE49-F238E27FC236}">
                  <a16:creationId xmlns:a16="http://schemas.microsoft.com/office/drawing/2014/main" id="{D364C2BE-2ADA-44EE-82CE-5DC99C0592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228600</xdr:colOff>
      <xdr:row>3</xdr:row>
      <xdr:rowOff>174172</xdr:rowOff>
    </xdr:from>
    <xdr:to>
      <xdr:col>12</xdr:col>
      <xdr:colOff>250371</xdr:colOff>
      <xdr:row>39</xdr:row>
      <xdr:rowOff>21771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518A2E33-04DB-425C-8576-7B465D8891D9}"/>
            </a:ext>
          </a:extLst>
        </xdr:cNvPr>
        <xdr:cNvCxnSpPr/>
      </xdr:nvCxnSpPr>
      <xdr:spPr>
        <a:xfrm flipH="1">
          <a:off x="6988629" y="729343"/>
          <a:ext cx="21771" cy="6814457"/>
        </a:xfrm>
        <a:prstGeom prst="line">
          <a:avLst/>
        </a:prstGeom>
        <a:ln w="2540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195941</xdr:colOff>
      <xdr:row>29</xdr:row>
      <xdr:rowOff>155365</xdr:rowOff>
    </xdr:from>
    <xdr:to>
      <xdr:col>25</xdr:col>
      <xdr:colOff>370113</xdr:colOff>
      <xdr:row>32</xdr:row>
      <xdr:rowOff>203200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1CFC71B-E708-4A72-B2A1-34FC0F2D8B17}"/>
            </a:ext>
          </a:extLst>
        </xdr:cNvPr>
        <xdr:cNvSpPr txBox="1"/>
      </xdr:nvSpPr>
      <xdr:spPr>
        <a:xfrm>
          <a:off x="12333512" y="5913908"/>
          <a:ext cx="2220687" cy="62477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Assigned YE 4 Revenue Multiplier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819150</xdr:colOff>
          <xdr:row>32</xdr:row>
          <xdr:rowOff>19050</xdr:rowOff>
        </xdr:from>
        <xdr:to>
          <xdr:col>19</xdr:col>
          <xdr:colOff>1138918</xdr:colOff>
          <xdr:row>33</xdr:row>
          <xdr:rowOff>95250</xdr:rowOff>
        </xdr:to>
        <xdr:sp macro="" textlink="">
          <xdr:nvSpPr>
            <xdr:cNvPr id="106507" name="ScrollBar11" hidden="1">
              <a:extLst>
                <a:ext uri="{63B3BB69-23CF-44E3-9099-C40C66FF867C}">
                  <a14:compatExt spid="_x0000_s106507"/>
                </a:ext>
                <a:ext uri="{FF2B5EF4-FFF2-40B4-BE49-F238E27FC236}">
                  <a16:creationId xmlns:a16="http://schemas.microsoft.com/office/drawing/2014/main" id="{8D97AAF5-C90F-41D1-994A-12612CFB03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185057</xdr:colOff>
      <xdr:row>19</xdr:row>
      <xdr:rowOff>65312</xdr:rowOff>
    </xdr:from>
    <xdr:to>
      <xdr:col>8</xdr:col>
      <xdr:colOff>468085</xdr:colOff>
      <xdr:row>23</xdr:row>
      <xdr:rowOff>21769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65A2DE4-731B-4938-8528-436CE00B2B06}"/>
            </a:ext>
          </a:extLst>
        </xdr:cNvPr>
        <xdr:cNvSpPr txBox="1"/>
      </xdr:nvSpPr>
      <xdr:spPr>
        <a:xfrm>
          <a:off x="805543" y="4713512"/>
          <a:ext cx="1523999" cy="696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b) Post-Money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276225</xdr:colOff>
          <xdr:row>12</xdr:row>
          <xdr:rowOff>19050</xdr:rowOff>
        </xdr:from>
        <xdr:to>
          <xdr:col>12</xdr:col>
          <xdr:colOff>9525</xdr:colOff>
          <xdr:row>13</xdr:row>
          <xdr:rowOff>57150</xdr:rowOff>
        </xdr:to>
        <xdr:sp macro="" textlink="">
          <xdr:nvSpPr>
            <xdr:cNvPr id="106508" name="ScrollBar12" hidden="1">
              <a:extLst>
                <a:ext uri="{63B3BB69-23CF-44E3-9099-C40C66FF867C}">
                  <a14:compatExt spid="_x0000_s106508"/>
                </a:ext>
                <a:ext uri="{FF2B5EF4-FFF2-40B4-BE49-F238E27FC236}">
                  <a16:creationId xmlns:a16="http://schemas.microsoft.com/office/drawing/2014/main" id="{F217D42E-F6E4-4295-B677-88BB4A08B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119743</xdr:colOff>
      <xdr:row>24</xdr:row>
      <xdr:rowOff>52011</xdr:rowOff>
    </xdr:from>
    <xdr:to>
      <xdr:col>8</xdr:col>
      <xdr:colOff>435429</xdr:colOff>
      <xdr:row>28</xdr:row>
      <xdr:rowOff>32657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0C2795B-DA86-4D2F-B940-639146429B28}"/>
            </a:ext>
          </a:extLst>
        </xdr:cNvPr>
        <xdr:cNvSpPr txBox="1"/>
      </xdr:nvSpPr>
      <xdr:spPr>
        <a:xfrm>
          <a:off x="3222172" y="4885268"/>
          <a:ext cx="1556657" cy="720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c) New Equity Required by investors</a:t>
          </a:r>
        </a:p>
      </xdr:txBody>
    </xdr:sp>
    <xdr:clientData/>
  </xdr:twoCellAnchor>
  <xdr:twoCellAnchor>
    <xdr:from>
      <xdr:col>38</xdr:col>
      <xdr:colOff>51101</xdr:colOff>
      <xdr:row>1</xdr:row>
      <xdr:rowOff>0</xdr:rowOff>
    </xdr:from>
    <xdr:to>
      <xdr:col>41</xdr:col>
      <xdr:colOff>614135</xdr:colOff>
      <xdr:row>2</xdr:row>
      <xdr:rowOff>119744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A7A9712-BD7D-424D-A80E-49F80E6C9AC8}"/>
            </a:ext>
          </a:extLst>
        </xdr:cNvPr>
        <xdr:cNvSpPr txBox="1"/>
      </xdr:nvSpPr>
      <xdr:spPr>
        <a:xfrm>
          <a:off x="16902187" y="805544"/>
          <a:ext cx="2119691" cy="7946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Proportion of the YE 2024 Valuation Required</a:t>
          </a:r>
        </a:p>
      </xdr:txBody>
    </xdr:sp>
    <xdr:clientData/>
  </xdr:twoCellAnchor>
  <xdr:twoCellAnchor>
    <xdr:from>
      <xdr:col>1</xdr:col>
      <xdr:colOff>152400</xdr:colOff>
      <xdr:row>3</xdr:row>
      <xdr:rowOff>174170</xdr:rowOff>
    </xdr:from>
    <xdr:to>
      <xdr:col>12</xdr:col>
      <xdr:colOff>250370</xdr:colOff>
      <xdr:row>4</xdr:row>
      <xdr:rowOff>21771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11BC9BEE-34A8-4221-AD05-23228D3FB57C}"/>
            </a:ext>
          </a:extLst>
        </xdr:cNvPr>
        <xdr:cNvCxnSpPr/>
      </xdr:nvCxnSpPr>
      <xdr:spPr>
        <a:xfrm flipV="1">
          <a:off x="152400" y="729341"/>
          <a:ext cx="6857999" cy="32659"/>
        </a:xfrm>
        <a:prstGeom prst="line">
          <a:avLst/>
        </a:prstGeom>
        <a:ln w="25400">
          <a:solidFill>
            <a:schemeClr val="accent5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217714</xdr:colOff>
      <xdr:row>4</xdr:row>
      <xdr:rowOff>108857</xdr:rowOff>
    </xdr:from>
    <xdr:to>
      <xdr:col>27</xdr:col>
      <xdr:colOff>228600</xdr:colOff>
      <xdr:row>38</xdr:row>
      <xdr:rowOff>130629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69367C85-04E3-4AFD-B9CE-95ED0CB14C39}"/>
            </a:ext>
          </a:extLst>
        </xdr:cNvPr>
        <xdr:cNvCxnSpPr/>
      </xdr:nvCxnSpPr>
      <xdr:spPr>
        <a:xfrm>
          <a:off x="15686314" y="849086"/>
          <a:ext cx="10886" cy="6607629"/>
        </a:xfrm>
        <a:prstGeom prst="line">
          <a:avLst/>
        </a:prstGeom>
        <a:ln w="25400">
          <a:solidFill>
            <a:schemeClr val="accent5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32657</xdr:colOff>
      <xdr:row>28</xdr:row>
      <xdr:rowOff>87085</xdr:rowOff>
    </xdr:from>
    <xdr:to>
      <xdr:col>27</xdr:col>
      <xdr:colOff>174172</xdr:colOff>
      <xdr:row>28</xdr:row>
      <xdr:rowOff>111036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4AE35A7E-B803-4F04-A210-02603F3B4157}"/>
            </a:ext>
          </a:extLst>
        </xdr:cNvPr>
        <xdr:cNvCxnSpPr/>
      </xdr:nvCxnSpPr>
      <xdr:spPr>
        <a:xfrm flipV="1">
          <a:off x="2514600" y="5660571"/>
          <a:ext cx="12845143" cy="23951"/>
        </a:xfrm>
        <a:prstGeom prst="line">
          <a:avLst/>
        </a:prstGeom>
        <a:ln w="2540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581932</xdr:colOff>
      <xdr:row>5</xdr:row>
      <xdr:rowOff>117626</xdr:rowOff>
    </xdr:from>
    <xdr:to>
      <xdr:col>17</xdr:col>
      <xdr:colOff>413656</xdr:colOff>
      <xdr:row>7</xdr:row>
      <xdr:rowOff>130630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4BD1B0E3-0E69-49BA-9E60-3F164527CE49}"/>
            </a:ext>
          </a:extLst>
        </xdr:cNvPr>
        <xdr:cNvSpPr txBox="1"/>
      </xdr:nvSpPr>
      <xdr:spPr>
        <a:xfrm>
          <a:off x="7341961" y="1227969"/>
          <a:ext cx="2890609" cy="383118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Projected Revenue</a:t>
          </a:r>
        </a:p>
      </xdr:txBody>
    </xdr:sp>
    <xdr:clientData/>
  </xdr:twoCellAnchor>
  <xdr:twoCellAnchor>
    <xdr:from>
      <xdr:col>6</xdr:col>
      <xdr:colOff>370114</xdr:colOff>
      <xdr:row>4</xdr:row>
      <xdr:rowOff>108858</xdr:rowOff>
    </xdr:from>
    <xdr:to>
      <xdr:col>11</xdr:col>
      <xdr:colOff>506638</xdr:colOff>
      <xdr:row>8</xdr:row>
      <xdr:rowOff>1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8583583-B89D-49F9-A689-4FF076ED3E3A}"/>
            </a:ext>
          </a:extLst>
        </xdr:cNvPr>
        <xdr:cNvSpPr txBox="1"/>
      </xdr:nvSpPr>
      <xdr:spPr>
        <a:xfrm>
          <a:off x="3472543" y="849087"/>
          <a:ext cx="2890609" cy="631371"/>
        </a:xfrm>
        <a:prstGeom prst="rect">
          <a:avLst/>
        </a:prstGeom>
        <a:solidFill>
          <a:srgbClr val="FFFF00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Current Valuation</a:t>
          </a:r>
        </a:p>
      </xdr:txBody>
    </xdr:sp>
    <xdr:clientData/>
  </xdr:twoCellAnchor>
  <xdr:twoCellAnchor>
    <xdr:from>
      <xdr:col>6</xdr:col>
      <xdr:colOff>0</xdr:colOff>
      <xdr:row>35</xdr:row>
      <xdr:rowOff>0</xdr:rowOff>
    </xdr:from>
    <xdr:to>
      <xdr:col>8</xdr:col>
      <xdr:colOff>602041</xdr:colOff>
      <xdr:row>39</xdr:row>
      <xdr:rowOff>127608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31420385-09F1-413A-B99E-3357EF2E4B04}"/>
            </a:ext>
          </a:extLst>
        </xdr:cNvPr>
        <xdr:cNvSpPr txBox="1"/>
      </xdr:nvSpPr>
      <xdr:spPr>
        <a:xfrm>
          <a:off x="620486" y="7249886"/>
          <a:ext cx="1843012" cy="954922"/>
        </a:xfrm>
        <a:prstGeom prst="rect">
          <a:avLst/>
        </a:prstGeom>
        <a:solidFill>
          <a:schemeClr val="accent4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Expected Return at Exit on this Capital Investment ($)</a:t>
          </a:r>
        </a:p>
      </xdr:txBody>
    </xdr:sp>
    <xdr:clientData/>
  </xdr:twoCellAnchor>
  <xdr:twoCellAnchor>
    <xdr:from>
      <xdr:col>20</xdr:col>
      <xdr:colOff>217713</xdr:colOff>
      <xdr:row>34</xdr:row>
      <xdr:rowOff>130629</xdr:rowOff>
    </xdr:from>
    <xdr:to>
      <xdr:col>25</xdr:col>
      <xdr:colOff>468085</xdr:colOff>
      <xdr:row>38</xdr:row>
      <xdr:rowOff>87086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96FE642-54C1-450C-B3BC-380902F27DD2}"/>
            </a:ext>
          </a:extLst>
        </xdr:cNvPr>
        <xdr:cNvSpPr txBox="1"/>
      </xdr:nvSpPr>
      <xdr:spPr>
        <a:xfrm>
          <a:off x="12355284" y="6934200"/>
          <a:ext cx="2296887" cy="849086"/>
        </a:xfrm>
        <a:prstGeom prst="rect">
          <a:avLst/>
        </a:prstGeom>
        <a:solidFill>
          <a:schemeClr val="accent4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Based Valuation YE 4th 12 months</a:t>
          </a:r>
        </a:p>
      </xdr:txBody>
    </xdr:sp>
    <xdr:clientData/>
  </xdr:twoCellAnchor>
  <xdr:twoCellAnchor>
    <xdr:from>
      <xdr:col>6</xdr:col>
      <xdr:colOff>119744</xdr:colOff>
      <xdr:row>16</xdr:row>
      <xdr:rowOff>38100</xdr:rowOff>
    </xdr:from>
    <xdr:to>
      <xdr:col>6</xdr:col>
      <xdr:colOff>214995</xdr:colOff>
      <xdr:row>26</xdr:row>
      <xdr:rowOff>42334</xdr:rowOff>
    </xdr:to>
    <xdr:cxnSp macro="">
      <xdr:nvCxnSpPr>
        <xdr:cNvPr id="68" name="Connector: Elbow 67">
          <a:extLst>
            <a:ext uri="{FF2B5EF4-FFF2-40B4-BE49-F238E27FC236}">
              <a16:creationId xmlns:a16="http://schemas.microsoft.com/office/drawing/2014/main" id="{8C59B4B4-F3D8-4275-9A1C-46073F6A81BA}"/>
            </a:ext>
          </a:extLst>
        </xdr:cNvPr>
        <xdr:cNvCxnSpPr>
          <a:stCxn id="5" idx="1"/>
          <a:endCxn id="35" idx="1"/>
        </xdr:cNvCxnSpPr>
      </xdr:nvCxnSpPr>
      <xdr:spPr>
        <a:xfrm rot="10800000" flipV="1">
          <a:off x="3222173" y="3390900"/>
          <a:ext cx="95251" cy="1854805"/>
        </a:xfrm>
        <a:prstGeom prst="bentConnector3">
          <a:avLst>
            <a:gd name="adj1" fmla="val 339997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297694</xdr:colOff>
      <xdr:row>33</xdr:row>
      <xdr:rowOff>152400</xdr:rowOff>
    </xdr:from>
    <xdr:to>
      <xdr:col>7</xdr:col>
      <xdr:colOff>301021</xdr:colOff>
      <xdr:row>35</xdr:row>
      <xdr:rowOff>0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A704AAC3-5813-4BA4-9D49-0C212AB9F20E}"/>
            </a:ext>
          </a:extLst>
        </xdr:cNvPr>
        <xdr:cNvCxnSpPr>
          <a:stCxn id="19" idx="2"/>
          <a:endCxn id="75" idx="0"/>
        </xdr:cNvCxnSpPr>
      </xdr:nvCxnSpPr>
      <xdr:spPr>
        <a:xfrm>
          <a:off x="4020608" y="6945086"/>
          <a:ext cx="3327" cy="30480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598715</xdr:colOff>
      <xdr:row>35</xdr:row>
      <xdr:rowOff>174171</xdr:rowOff>
    </xdr:from>
    <xdr:to>
      <xdr:col>9</xdr:col>
      <xdr:colOff>261257</xdr:colOff>
      <xdr:row>37</xdr:row>
      <xdr:rowOff>76201</xdr:rowOff>
    </xdr:to>
    <xdr:sp macro="" textlink="">
      <xdr:nvSpPr>
        <xdr:cNvPr id="72" name="Equals 71">
          <a:extLst>
            <a:ext uri="{FF2B5EF4-FFF2-40B4-BE49-F238E27FC236}">
              <a16:creationId xmlns:a16="http://schemas.microsoft.com/office/drawing/2014/main" id="{39D930ED-E28E-46D3-B517-63C1E4C3B0BF}"/>
            </a:ext>
          </a:extLst>
        </xdr:cNvPr>
        <xdr:cNvSpPr/>
      </xdr:nvSpPr>
      <xdr:spPr>
        <a:xfrm>
          <a:off x="4942115" y="7239000"/>
          <a:ext cx="283028" cy="337458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587829</xdr:colOff>
      <xdr:row>32</xdr:row>
      <xdr:rowOff>261256</xdr:rowOff>
    </xdr:from>
    <xdr:to>
      <xdr:col>11</xdr:col>
      <xdr:colOff>370115</xdr:colOff>
      <xdr:row>34</xdr:row>
      <xdr:rowOff>217713</xdr:rowOff>
    </xdr:to>
    <xdr:sp macro="" textlink="">
      <xdr:nvSpPr>
        <xdr:cNvPr id="76" name="Multiplication Sign 75">
          <a:extLst>
            <a:ext uri="{FF2B5EF4-FFF2-40B4-BE49-F238E27FC236}">
              <a16:creationId xmlns:a16="http://schemas.microsoft.com/office/drawing/2014/main" id="{ABD64100-8006-4EC9-B4BA-CA5207005904}"/>
            </a:ext>
          </a:extLst>
        </xdr:cNvPr>
        <xdr:cNvSpPr/>
      </xdr:nvSpPr>
      <xdr:spPr>
        <a:xfrm>
          <a:off x="6444343" y="6226627"/>
          <a:ext cx="402772" cy="424543"/>
        </a:xfrm>
        <a:prstGeom prst="mathMultiply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272143</xdr:colOff>
      <xdr:row>9</xdr:row>
      <xdr:rowOff>21772</xdr:rowOff>
    </xdr:from>
    <xdr:to>
      <xdr:col>4</xdr:col>
      <xdr:colOff>587829</xdr:colOff>
      <xdr:row>10</xdr:row>
      <xdr:rowOff>185057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FDDC948-EA11-451C-BFAD-5F577892742A}"/>
            </a:ext>
          </a:extLst>
        </xdr:cNvPr>
        <xdr:cNvSpPr txBox="1"/>
      </xdr:nvSpPr>
      <xdr:spPr>
        <a:xfrm>
          <a:off x="892629" y="2057401"/>
          <a:ext cx="1556657" cy="3592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1.</a:t>
          </a:r>
        </a:p>
      </xdr:txBody>
    </xdr:sp>
    <xdr:clientData/>
  </xdr:twoCellAnchor>
  <xdr:twoCellAnchor>
    <xdr:from>
      <xdr:col>2</xdr:col>
      <xdr:colOff>337458</xdr:colOff>
      <xdr:row>20</xdr:row>
      <xdr:rowOff>-1</xdr:rowOff>
    </xdr:from>
    <xdr:to>
      <xdr:col>5</xdr:col>
      <xdr:colOff>32658</xdr:colOff>
      <xdr:row>21</xdr:row>
      <xdr:rowOff>174169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212A1286-0D67-4A08-A031-DFA13E7FC68F}"/>
            </a:ext>
          </a:extLst>
        </xdr:cNvPr>
        <xdr:cNvSpPr txBox="1"/>
      </xdr:nvSpPr>
      <xdr:spPr>
        <a:xfrm>
          <a:off x="957944" y="4093028"/>
          <a:ext cx="1556657" cy="3592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2.</a:t>
          </a:r>
        </a:p>
      </xdr:txBody>
    </xdr:sp>
    <xdr:clientData/>
  </xdr:twoCellAnchor>
  <xdr:twoCellAnchor>
    <xdr:from>
      <xdr:col>5</xdr:col>
      <xdr:colOff>489858</xdr:colOff>
      <xdr:row>30</xdr:row>
      <xdr:rowOff>27215</xdr:rowOff>
    </xdr:from>
    <xdr:to>
      <xdr:col>5</xdr:col>
      <xdr:colOff>585109</xdr:colOff>
      <xdr:row>38</xdr:row>
      <xdr:rowOff>156787</xdr:rowOff>
    </xdr:to>
    <xdr:cxnSp macro="">
      <xdr:nvCxnSpPr>
        <xdr:cNvPr id="96" name="Connector: Elbow 95">
          <a:extLst>
            <a:ext uri="{FF2B5EF4-FFF2-40B4-BE49-F238E27FC236}">
              <a16:creationId xmlns:a16="http://schemas.microsoft.com/office/drawing/2014/main" id="{C847D9BF-33BB-42A4-8852-C6E2E26CFA5C}"/>
            </a:ext>
          </a:extLst>
        </xdr:cNvPr>
        <xdr:cNvCxnSpPr/>
      </xdr:nvCxnSpPr>
      <xdr:spPr>
        <a:xfrm rot="10800000" flipV="1">
          <a:off x="2971801" y="6166758"/>
          <a:ext cx="95251" cy="1871286"/>
        </a:xfrm>
        <a:prstGeom prst="bentConnector3">
          <a:avLst>
            <a:gd name="adj1" fmla="val 488567"/>
          </a:avLst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304801</xdr:colOff>
      <xdr:row>33</xdr:row>
      <xdr:rowOff>97971</xdr:rowOff>
    </xdr:from>
    <xdr:to>
      <xdr:col>5</xdr:col>
      <xdr:colOff>1</xdr:colOff>
      <xdr:row>34</xdr:row>
      <xdr:rowOff>261255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DE79F37-E4C4-4DC4-9328-A9CDE37D6FAC}"/>
            </a:ext>
          </a:extLst>
        </xdr:cNvPr>
        <xdr:cNvSpPr txBox="1"/>
      </xdr:nvSpPr>
      <xdr:spPr>
        <a:xfrm>
          <a:off x="925287" y="6890657"/>
          <a:ext cx="1556657" cy="3592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3.</a:t>
          </a:r>
        </a:p>
      </xdr:txBody>
    </xdr:sp>
    <xdr:clientData/>
  </xdr:twoCellAnchor>
  <xdr:twoCellAnchor>
    <xdr:from>
      <xdr:col>12</xdr:col>
      <xdr:colOff>664028</xdr:colOff>
      <xdr:row>2</xdr:row>
      <xdr:rowOff>174171</xdr:rowOff>
    </xdr:from>
    <xdr:to>
      <xdr:col>16</xdr:col>
      <xdr:colOff>206829</xdr:colOff>
      <xdr:row>4</xdr:row>
      <xdr:rowOff>163283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AA09DE2-8CF8-42A5-82CE-B54A432E84D8}"/>
            </a:ext>
          </a:extLst>
        </xdr:cNvPr>
        <xdr:cNvSpPr txBox="1"/>
      </xdr:nvSpPr>
      <xdr:spPr>
        <a:xfrm>
          <a:off x="7424057" y="729342"/>
          <a:ext cx="2253343" cy="3592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4.</a:t>
          </a:r>
        </a:p>
      </xdr:txBody>
    </xdr:sp>
    <xdr:clientData/>
  </xdr:twoCellAnchor>
  <xdr:twoCellAnchor>
    <xdr:from>
      <xdr:col>12</xdr:col>
      <xdr:colOff>620485</xdr:colOff>
      <xdr:row>30</xdr:row>
      <xdr:rowOff>10887</xdr:rowOff>
    </xdr:from>
    <xdr:to>
      <xdr:col>16</xdr:col>
      <xdr:colOff>163285</xdr:colOff>
      <xdr:row>31</xdr:row>
      <xdr:rowOff>174171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58381AB-E578-4591-8B1C-8C47CD166B58}"/>
            </a:ext>
          </a:extLst>
        </xdr:cNvPr>
        <xdr:cNvSpPr txBox="1"/>
      </xdr:nvSpPr>
      <xdr:spPr>
        <a:xfrm>
          <a:off x="7097485" y="6150430"/>
          <a:ext cx="1556657" cy="3592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5.</a:t>
          </a:r>
        </a:p>
      </xdr:txBody>
    </xdr:sp>
    <xdr:clientData/>
  </xdr:twoCellAnchor>
  <xdr:twoCellAnchor>
    <xdr:from>
      <xdr:col>12</xdr:col>
      <xdr:colOff>620485</xdr:colOff>
      <xdr:row>35</xdr:row>
      <xdr:rowOff>119744</xdr:rowOff>
    </xdr:from>
    <xdr:to>
      <xdr:col>16</xdr:col>
      <xdr:colOff>163285</xdr:colOff>
      <xdr:row>37</xdr:row>
      <xdr:rowOff>43543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B298145-3FE4-40E4-BFBF-EDB3C05BF25C}"/>
            </a:ext>
          </a:extLst>
        </xdr:cNvPr>
        <xdr:cNvSpPr txBox="1"/>
      </xdr:nvSpPr>
      <xdr:spPr>
        <a:xfrm>
          <a:off x="7097485" y="7184573"/>
          <a:ext cx="2253343" cy="35922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6.</a:t>
          </a:r>
        </a:p>
      </xdr:txBody>
    </xdr:sp>
    <xdr:clientData/>
  </xdr:twoCellAnchor>
  <xdr:twoCellAnchor>
    <xdr:from>
      <xdr:col>29</xdr:col>
      <xdr:colOff>130628</xdr:colOff>
      <xdr:row>36</xdr:row>
      <xdr:rowOff>119743</xdr:rowOff>
    </xdr:from>
    <xdr:to>
      <xdr:col>33</xdr:col>
      <xdr:colOff>87085</xdr:colOff>
      <xdr:row>38</xdr:row>
      <xdr:rowOff>10886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0E8F217-13BF-418E-843E-8596515CA46D}"/>
            </a:ext>
          </a:extLst>
        </xdr:cNvPr>
        <xdr:cNvSpPr txBox="1"/>
      </xdr:nvSpPr>
      <xdr:spPr>
        <a:xfrm>
          <a:off x="16981714" y="7151914"/>
          <a:ext cx="1556657" cy="28302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Step 7.</a:t>
          </a:r>
        </a:p>
      </xdr:txBody>
    </xdr:sp>
    <xdr:clientData/>
  </xdr:twoCellAnchor>
  <xdr:twoCellAnchor>
    <xdr:from>
      <xdr:col>27</xdr:col>
      <xdr:colOff>446310</xdr:colOff>
      <xdr:row>38</xdr:row>
      <xdr:rowOff>100936</xdr:rowOff>
    </xdr:from>
    <xdr:to>
      <xdr:col>34</xdr:col>
      <xdr:colOff>598712</xdr:colOff>
      <xdr:row>44</xdr:row>
      <xdr:rowOff>76200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AA671E8-31BC-4942-B3C3-339CC3C9C4AB}"/>
            </a:ext>
          </a:extLst>
        </xdr:cNvPr>
        <xdr:cNvSpPr txBox="1"/>
      </xdr:nvSpPr>
      <xdr:spPr>
        <a:xfrm>
          <a:off x="16535396" y="7524993"/>
          <a:ext cx="2852059" cy="1096493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Iterate until the equation is somewhat balanced. These two numbers should be approximately equal.</a:t>
          </a:r>
        </a:p>
      </xdr:txBody>
    </xdr:sp>
    <xdr:clientData/>
  </xdr:twoCellAnchor>
  <xdr:twoCellAnchor>
    <xdr:from>
      <xdr:col>12</xdr:col>
      <xdr:colOff>391886</xdr:colOff>
      <xdr:row>16</xdr:row>
      <xdr:rowOff>185056</xdr:rowOff>
    </xdr:from>
    <xdr:to>
      <xdr:col>16</xdr:col>
      <xdr:colOff>250372</xdr:colOff>
      <xdr:row>19</xdr:row>
      <xdr:rowOff>163286</xdr:rowOff>
    </xdr:to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41FBDA6E-B121-45A2-B362-B84C41F2A006}"/>
            </a:ext>
          </a:extLst>
        </xdr:cNvPr>
        <xdr:cNvSpPr txBox="1"/>
      </xdr:nvSpPr>
      <xdr:spPr>
        <a:xfrm>
          <a:off x="6868886" y="3537856"/>
          <a:ext cx="2569029" cy="5334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aseline="0">
              <a:latin typeface="Lucida Bright" panose="02040602050505020304" pitchFamily="18" charset="0"/>
            </a:rPr>
            <a:t>3rd 12 months # of Paying 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Patients </a:t>
          </a:r>
        </a:p>
      </xdr:txBody>
    </xdr:sp>
    <xdr:clientData/>
  </xdr:twoCellAnchor>
  <xdr:twoCellAnchor>
    <xdr:from>
      <xdr:col>27</xdr:col>
      <xdr:colOff>337456</xdr:colOff>
      <xdr:row>9</xdr:row>
      <xdr:rowOff>20412</xdr:rowOff>
    </xdr:from>
    <xdr:to>
      <xdr:col>35</xdr:col>
      <xdr:colOff>272142</xdr:colOff>
      <xdr:row>16</xdr:row>
      <xdr:rowOff>21772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90C9E776-CA62-45E9-A1D6-207F7490001B}"/>
            </a:ext>
          </a:extLst>
        </xdr:cNvPr>
        <xdr:cNvSpPr txBox="1"/>
      </xdr:nvSpPr>
      <xdr:spPr>
        <a:xfrm>
          <a:off x="16426542" y="1685926"/>
          <a:ext cx="3254829" cy="13838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00" baseline="0">
              <a:latin typeface="Lucida Bright" panose="02040602050505020304" pitchFamily="18" charset="0"/>
            </a:rPr>
            <a:t>Assumptions: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1. Negligible churn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2. Cumulative rolling totals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3. End of 12 months convention</a:t>
          </a:r>
        </a:p>
      </xdr:txBody>
    </xdr:sp>
    <xdr:clientData/>
  </xdr:twoCellAnchor>
  <xdr:twoCellAnchor>
    <xdr:from>
      <xdr:col>20</xdr:col>
      <xdr:colOff>174172</xdr:colOff>
      <xdr:row>39</xdr:row>
      <xdr:rowOff>76198</xdr:rowOff>
    </xdr:from>
    <xdr:to>
      <xdr:col>25</xdr:col>
      <xdr:colOff>522514</xdr:colOff>
      <xdr:row>44</xdr:row>
      <xdr:rowOff>87086</xdr:rowOff>
    </xdr:to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B50464D-B295-419D-AE71-56BED82B8116}"/>
            </a:ext>
          </a:extLst>
        </xdr:cNvPr>
        <xdr:cNvSpPr txBox="1"/>
      </xdr:nvSpPr>
      <xdr:spPr>
        <a:xfrm>
          <a:off x="12594772" y="7598227"/>
          <a:ext cx="2394856" cy="936173"/>
        </a:xfrm>
        <a:prstGeom prst="rect">
          <a:avLst/>
        </a:prstGeom>
        <a:solidFill>
          <a:schemeClr val="accent4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Return to Investors at Exit  (Step 2c* Step 6)</a:t>
          </a:r>
        </a:p>
      </xdr:txBody>
    </xdr:sp>
    <xdr:clientData/>
  </xdr:twoCellAnchor>
  <xdr:twoCellAnchor>
    <xdr:from>
      <xdr:col>12</xdr:col>
      <xdr:colOff>206829</xdr:colOff>
      <xdr:row>33</xdr:row>
      <xdr:rowOff>130628</xdr:rowOff>
    </xdr:from>
    <xdr:to>
      <xdr:col>27</xdr:col>
      <xdr:colOff>195943</xdr:colOff>
      <xdr:row>33</xdr:row>
      <xdr:rowOff>174171</xdr:rowOff>
    </xdr:to>
    <xdr:cxnSp macro="">
      <xdr:nvCxnSpPr>
        <xdr:cNvPr id="114" name="Straight Connector 113">
          <a:extLst>
            <a:ext uri="{FF2B5EF4-FFF2-40B4-BE49-F238E27FC236}">
              <a16:creationId xmlns:a16="http://schemas.microsoft.com/office/drawing/2014/main" id="{6F5EA508-FCF4-4D9C-99CD-2F486919F0CC}"/>
            </a:ext>
          </a:extLst>
        </xdr:cNvPr>
        <xdr:cNvCxnSpPr/>
      </xdr:nvCxnSpPr>
      <xdr:spPr>
        <a:xfrm flipV="1">
          <a:off x="6683829" y="6738257"/>
          <a:ext cx="8697685" cy="43543"/>
        </a:xfrm>
        <a:prstGeom prst="line">
          <a:avLst/>
        </a:prstGeom>
        <a:ln w="25400">
          <a:solidFill>
            <a:schemeClr val="accent5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250372</xdr:colOff>
      <xdr:row>38</xdr:row>
      <xdr:rowOff>163285</xdr:rowOff>
    </xdr:from>
    <xdr:to>
      <xdr:col>27</xdr:col>
      <xdr:colOff>239486</xdr:colOff>
      <xdr:row>39</xdr:row>
      <xdr:rowOff>10885</xdr:rowOff>
    </xdr:to>
    <xdr:cxnSp macro="">
      <xdr:nvCxnSpPr>
        <xdr:cNvPr id="118" name="Straight Connector 117">
          <a:extLst>
            <a:ext uri="{FF2B5EF4-FFF2-40B4-BE49-F238E27FC236}">
              <a16:creationId xmlns:a16="http://schemas.microsoft.com/office/drawing/2014/main" id="{D006E397-461C-4FEA-AF1D-BD78D3B8E278}"/>
            </a:ext>
          </a:extLst>
        </xdr:cNvPr>
        <xdr:cNvCxnSpPr/>
      </xdr:nvCxnSpPr>
      <xdr:spPr>
        <a:xfrm flipV="1">
          <a:off x="6727372" y="7859485"/>
          <a:ext cx="8697685" cy="43543"/>
        </a:xfrm>
        <a:prstGeom prst="line">
          <a:avLst/>
        </a:prstGeom>
        <a:ln w="25400">
          <a:solidFill>
            <a:schemeClr val="accent5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642257</xdr:colOff>
      <xdr:row>41</xdr:row>
      <xdr:rowOff>43543</xdr:rowOff>
    </xdr:from>
    <xdr:to>
      <xdr:col>17</xdr:col>
      <xdr:colOff>805544</xdr:colOff>
      <xdr:row>41</xdr:row>
      <xdr:rowOff>65314</xdr:rowOff>
    </xdr:to>
    <xdr:cxnSp macro="">
      <xdr:nvCxnSpPr>
        <xdr:cNvPr id="116" name="Straight Arrow Connector 115">
          <a:extLst>
            <a:ext uri="{FF2B5EF4-FFF2-40B4-BE49-F238E27FC236}">
              <a16:creationId xmlns:a16="http://schemas.microsoft.com/office/drawing/2014/main" id="{2BF3E3AA-AA48-4D5E-AA91-C876833919C0}"/>
            </a:ext>
          </a:extLst>
        </xdr:cNvPr>
        <xdr:cNvCxnSpPr/>
      </xdr:nvCxnSpPr>
      <xdr:spPr>
        <a:xfrm flipH="1">
          <a:off x="7119257" y="8305800"/>
          <a:ext cx="3222173" cy="21771"/>
        </a:xfrm>
        <a:prstGeom prst="straightConnector1">
          <a:avLst/>
        </a:prstGeom>
        <a:ln w="2540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391885</xdr:colOff>
      <xdr:row>36</xdr:row>
      <xdr:rowOff>32656</xdr:rowOff>
    </xdr:from>
    <xdr:to>
      <xdr:col>5</xdr:col>
      <xdr:colOff>76197</xdr:colOff>
      <xdr:row>44</xdr:row>
      <xdr:rowOff>76200</xdr:rowOff>
    </xdr:to>
    <xdr:sp macro="" textlink="">
      <xdr:nvSpPr>
        <xdr:cNvPr id="121" name="Speech Bubble: Rectangle with Corners Rounded 120">
          <a:extLst>
            <a:ext uri="{FF2B5EF4-FFF2-40B4-BE49-F238E27FC236}">
              <a16:creationId xmlns:a16="http://schemas.microsoft.com/office/drawing/2014/main" id="{4EEBCE9F-6B4F-4C33-9793-D0E42C7B6124}"/>
            </a:ext>
          </a:extLst>
        </xdr:cNvPr>
        <xdr:cNvSpPr/>
      </xdr:nvSpPr>
      <xdr:spPr>
        <a:xfrm>
          <a:off x="391885" y="6966856"/>
          <a:ext cx="2786741" cy="1556658"/>
        </a:xfrm>
        <a:prstGeom prst="wedgeRoundRectCallout">
          <a:avLst>
            <a:gd name="adj1" fmla="val 147716"/>
            <a:gd name="adj2" fmla="val 21540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600">
              <a:solidFill>
                <a:srgbClr val="002060"/>
              </a:solidFill>
              <a:latin typeface="Lucida Bright" panose="02040602050505020304" pitchFamily="18" charset="0"/>
            </a:rPr>
            <a:t>The</a:t>
          </a:r>
          <a:r>
            <a:rPr lang="en-US" sz="1600" baseline="0">
              <a:solidFill>
                <a:srgbClr val="002060"/>
              </a:solidFill>
              <a:latin typeface="Lucida Bright" panose="02040602050505020304" pitchFamily="18" charset="0"/>
            </a:rPr>
            <a:t> Equation is balanced when this gap is as close to zero as possible. This is good enough</a:t>
          </a:r>
          <a:endParaRPr lang="en-US" sz="1600">
            <a:solidFill>
              <a:srgbClr val="002060"/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25</xdr:col>
      <xdr:colOff>522515</xdr:colOff>
      <xdr:row>23</xdr:row>
      <xdr:rowOff>185056</xdr:rowOff>
    </xdr:from>
    <xdr:to>
      <xdr:col>26</xdr:col>
      <xdr:colOff>43544</xdr:colOff>
      <xdr:row>41</xdr:row>
      <xdr:rowOff>174170</xdr:rowOff>
    </xdr:to>
    <xdr:cxnSp macro="">
      <xdr:nvCxnSpPr>
        <xdr:cNvPr id="124" name="Connector: Elbow 123">
          <a:extLst>
            <a:ext uri="{FF2B5EF4-FFF2-40B4-BE49-F238E27FC236}">
              <a16:creationId xmlns:a16="http://schemas.microsoft.com/office/drawing/2014/main" id="{72DA76F5-1469-45CF-96CE-30B0893E2EF1}"/>
            </a:ext>
          </a:extLst>
        </xdr:cNvPr>
        <xdr:cNvCxnSpPr>
          <a:endCxn id="106" idx="3"/>
        </xdr:cNvCxnSpPr>
      </xdr:nvCxnSpPr>
      <xdr:spPr>
        <a:xfrm rot="5400000">
          <a:off x="13242472" y="6210299"/>
          <a:ext cx="3603171" cy="108858"/>
        </a:xfrm>
        <a:prstGeom prst="bentConnector2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816426</xdr:colOff>
      <xdr:row>32</xdr:row>
      <xdr:rowOff>194308</xdr:rowOff>
    </xdr:from>
    <xdr:to>
      <xdr:col>18</xdr:col>
      <xdr:colOff>10884</xdr:colOff>
      <xdr:row>41</xdr:row>
      <xdr:rowOff>152399</xdr:rowOff>
    </xdr:to>
    <xdr:cxnSp macro="">
      <xdr:nvCxnSpPr>
        <xdr:cNvPr id="126" name="Connector: Elbow 125">
          <a:extLst>
            <a:ext uri="{FF2B5EF4-FFF2-40B4-BE49-F238E27FC236}">
              <a16:creationId xmlns:a16="http://schemas.microsoft.com/office/drawing/2014/main" id="{8F5D65C7-E7AC-465D-90FD-8087C7D9AF5C}"/>
            </a:ext>
          </a:extLst>
        </xdr:cNvPr>
        <xdr:cNvCxnSpPr/>
      </xdr:nvCxnSpPr>
      <xdr:spPr>
        <a:xfrm rot="10800000" flipH="1" flipV="1">
          <a:off x="10635340" y="6159679"/>
          <a:ext cx="21773" cy="1884863"/>
        </a:xfrm>
        <a:prstGeom prst="bentConnector4">
          <a:avLst>
            <a:gd name="adj1" fmla="val -1049924"/>
            <a:gd name="adj2" fmla="val 100867"/>
          </a:avLst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87086</xdr:colOff>
      <xdr:row>38</xdr:row>
      <xdr:rowOff>0</xdr:rowOff>
    </xdr:from>
    <xdr:to>
      <xdr:col>11</xdr:col>
      <xdr:colOff>87087</xdr:colOff>
      <xdr:row>40</xdr:row>
      <xdr:rowOff>0</xdr:rowOff>
    </xdr:to>
    <xdr:cxnSp macro="">
      <xdr:nvCxnSpPr>
        <xdr:cNvPr id="150" name="Straight Arrow Connector 149">
          <a:extLst>
            <a:ext uri="{FF2B5EF4-FFF2-40B4-BE49-F238E27FC236}">
              <a16:creationId xmlns:a16="http://schemas.microsoft.com/office/drawing/2014/main" id="{C67B5DC2-DE10-4E0C-9ABF-E881F03E6134}"/>
            </a:ext>
          </a:extLst>
        </xdr:cNvPr>
        <xdr:cNvCxnSpPr/>
      </xdr:nvCxnSpPr>
      <xdr:spPr>
        <a:xfrm>
          <a:off x="6564086" y="7326086"/>
          <a:ext cx="1" cy="381000"/>
        </a:xfrm>
        <a:prstGeom prst="straightConnector1">
          <a:avLst/>
        </a:prstGeom>
        <a:ln w="2540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97365</xdr:colOff>
      <xdr:row>7</xdr:row>
      <xdr:rowOff>5290</xdr:rowOff>
    </xdr:from>
    <xdr:to>
      <xdr:col>16</xdr:col>
      <xdr:colOff>319615</xdr:colOff>
      <xdr:row>15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2535765" y="1338790"/>
          <a:ext cx="7537450" cy="16234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The turn rate is expected to ve very low. The natural attrition rate is estimated to be 1% or less year over year.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Medicare patients do not have any incentive to leave.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Private insurance patients may leave because of the cost of service.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14. Retention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and LVC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4</xdr:col>
      <xdr:colOff>106890</xdr:colOff>
      <xdr:row>16</xdr:row>
      <xdr:rowOff>157690</xdr:rowOff>
    </xdr:from>
    <xdr:to>
      <xdr:col>16</xdr:col>
      <xdr:colOff>329140</xdr:colOff>
      <xdr:row>27</xdr:row>
      <xdr:rowOff>66675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2545290" y="3205690"/>
          <a:ext cx="7537450" cy="20044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The Life Value of a Patient can be calculated using the following assumed data points: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Expected participation: 5 years or 60 months</a:t>
          </a:r>
        </a:p>
        <a:p>
          <a:r>
            <a:rPr lang="en-US" sz="1400" baseline="0">
              <a:latin typeface="Lucida Bright" panose="02040602050505020304" pitchFamily="18" charset="0"/>
            </a:rPr>
            <a:t>Expected monthly revenue/patient: $30 or $360 per year</a:t>
          </a:r>
        </a:p>
        <a:p>
          <a:r>
            <a:rPr lang="en-US" sz="1400" baseline="0">
              <a:latin typeface="Lucida Bright" panose="02040602050505020304" pitchFamily="18" charset="0"/>
            </a:rPr>
            <a:t>Expected Gross LVP =  $ 1,800</a:t>
          </a:r>
        </a:p>
        <a:p>
          <a:r>
            <a:rPr lang="en-US" sz="1400" baseline="0">
              <a:latin typeface="Lucida Bright" panose="02040602050505020304" pitchFamily="18" charset="0"/>
            </a:rPr>
            <a:t>Expected Gross Profit: 85% </a:t>
          </a:r>
        </a:p>
        <a:p>
          <a:r>
            <a:rPr lang="en-US" sz="1400" baseline="0">
              <a:latin typeface="Lucida Bright" panose="02040602050505020304" pitchFamily="18" charset="0"/>
            </a:rPr>
            <a:t>Expected Net LVP = $1,530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19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2669115" y="1795990"/>
          <a:ext cx="7537450" cy="18901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What do you do when a clinic is dissatisfied?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What do you do when a patient is dissatisfied?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What do you do when your technology enablers are not performing?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What do you do when there are compliance and regulatory issues?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13. Remedy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12. Gap Analysis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11. Actual Experience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Will be required to meet predetermined performance benchmarks.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10. Operating Delivery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9. Moment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of Truth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14</xdr:col>
      <xdr:colOff>152400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2120900" y="512233"/>
          <a:ext cx="65659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8. Expectations of Performance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7. Acquisition Sequence</a:t>
          </a:r>
        </a:p>
      </xdr:txBody>
    </xdr:sp>
    <xdr:clientData/>
  </xdr:twoCellAnchor>
  <xdr:twoCellAnchor>
    <xdr:from>
      <xdr:col>0</xdr:col>
      <xdr:colOff>147108</xdr:colOff>
      <xdr:row>36</xdr:row>
      <xdr:rowOff>29633</xdr:rowOff>
    </xdr:from>
    <xdr:to>
      <xdr:col>3</xdr:col>
      <xdr:colOff>162983</xdr:colOff>
      <xdr:row>41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2</xdr:col>
      <xdr:colOff>400050</xdr:colOff>
      <xdr:row>10</xdr:row>
      <xdr:rowOff>28575</xdr:rowOff>
    </xdr:from>
    <xdr:to>
      <xdr:col>5</xdr:col>
      <xdr:colOff>514350</xdr:colOff>
      <xdr:row>12</xdr:row>
      <xdr:rowOff>128059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619250" y="2314575"/>
          <a:ext cx="194310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 Building Awareness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6</xdr:col>
      <xdr:colOff>295275</xdr:colOff>
      <xdr:row>10</xdr:row>
      <xdr:rowOff>28575</xdr:rowOff>
    </xdr:from>
    <xdr:to>
      <xdr:col>9</xdr:col>
      <xdr:colOff>207435</xdr:colOff>
      <xdr:row>12</xdr:row>
      <xdr:rowOff>128059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3952875" y="2314575"/>
          <a:ext cx="174096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Creating Interest </a:t>
          </a:r>
        </a:p>
      </xdr:txBody>
    </xdr:sp>
    <xdr:clientData/>
  </xdr:twoCellAnchor>
  <xdr:twoCellAnchor>
    <xdr:from>
      <xdr:col>13</xdr:col>
      <xdr:colOff>342900</xdr:colOff>
      <xdr:row>9</xdr:row>
      <xdr:rowOff>171450</xdr:rowOff>
    </xdr:from>
    <xdr:to>
      <xdr:col>16</xdr:col>
      <xdr:colOff>255060</xdr:colOff>
      <xdr:row>12</xdr:row>
      <xdr:rowOff>80434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8267700" y="2266950"/>
          <a:ext cx="174096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Use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16</xdr:col>
      <xdr:colOff>533400</xdr:colOff>
      <xdr:row>9</xdr:row>
      <xdr:rowOff>161925</xdr:rowOff>
    </xdr:from>
    <xdr:to>
      <xdr:col>19</xdr:col>
      <xdr:colOff>445560</xdr:colOff>
      <xdr:row>12</xdr:row>
      <xdr:rowOff>70909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0287000" y="2257425"/>
          <a:ext cx="174096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Subsequent Use</a:t>
          </a:r>
        </a:p>
      </xdr:txBody>
    </xdr:sp>
    <xdr:clientData/>
  </xdr:twoCellAnchor>
  <xdr:twoCellAnchor>
    <xdr:from>
      <xdr:col>10</xdr:col>
      <xdr:colOff>38100</xdr:colOff>
      <xdr:row>9</xdr:row>
      <xdr:rowOff>180975</xdr:rowOff>
    </xdr:from>
    <xdr:to>
      <xdr:col>12</xdr:col>
      <xdr:colOff>559860</xdr:colOff>
      <xdr:row>12</xdr:row>
      <xdr:rowOff>89959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6134100" y="2276475"/>
          <a:ext cx="174096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Managing Trial</a:t>
          </a:r>
        </a:p>
      </xdr:txBody>
    </xdr:sp>
    <xdr:clientData/>
  </xdr:twoCellAnchor>
  <xdr:twoCellAnchor>
    <xdr:from>
      <xdr:col>2</xdr:col>
      <xdr:colOff>404812</xdr:colOff>
      <xdr:row>13</xdr:row>
      <xdr:rowOff>119063</xdr:rowOff>
    </xdr:from>
    <xdr:to>
      <xdr:col>12</xdr:col>
      <xdr:colOff>533400</xdr:colOff>
      <xdr:row>15</xdr:row>
      <xdr:rowOff>114300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 rot="5400000">
          <a:off x="4548187" y="52388"/>
          <a:ext cx="376237" cy="622458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333374</xdr:colOff>
      <xdr:row>13</xdr:row>
      <xdr:rowOff>95255</xdr:rowOff>
    </xdr:from>
    <xdr:to>
      <xdr:col>19</xdr:col>
      <xdr:colOff>400049</xdr:colOff>
      <xdr:row>15</xdr:row>
      <xdr:rowOff>152407</xdr:rowOff>
    </xdr:to>
    <xdr:sp macro="" textlink="">
      <xdr:nvSpPr>
        <xdr:cNvPr id="13" name="Right Brac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 rot="5400000">
          <a:off x="9901236" y="1309693"/>
          <a:ext cx="438152" cy="37242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533400</xdr:colOff>
      <xdr:row>16</xdr:row>
      <xdr:rowOff>161925</xdr:rowOff>
    </xdr:from>
    <xdr:to>
      <xdr:col>9</xdr:col>
      <xdr:colOff>342900</xdr:colOff>
      <xdr:row>19</xdr:row>
      <xdr:rowOff>70909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3581400" y="3590925"/>
          <a:ext cx="224790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Customer Acquisition</a:t>
          </a:r>
        </a:p>
      </xdr:txBody>
    </xdr:sp>
    <xdr:clientData/>
  </xdr:twoCellAnchor>
  <xdr:twoCellAnchor>
    <xdr:from>
      <xdr:col>14</xdr:col>
      <xdr:colOff>504825</xdr:colOff>
      <xdr:row>16</xdr:row>
      <xdr:rowOff>104775</xdr:rowOff>
    </xdr:from>
    <xdr:to>
      <xdr:col>18</xdr:col>
      <xdr:colOff>314325</xdr:colOff>
      <xdr:row>19</xdr:row>
      <xdr:rowOff>13759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9039225" y="3533775"/>
          <a:ext cx="224790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Customer Retention</a:t>
          </a:r>
        </a:p>
      </xdr:txBody>
    </xdr:sp>
    <xdr:clientData/>
  </xdr:twoCellAnchor>
  <xdr:twoCellAnchor>
    <xdr:from>
      <xdr:col>5</xdr:col>
      <xdr:colOff>495300</xdr:colOff>
      <xdr:row>20</xdr:row>
      <xdr:rowOff>66675</xdr:rowOff>
    </xdr:from>
    <xdr:to>
      <xdr:col>9</xdr:col>
      <xdr:colOff>304800</xdr:colOff>
      <xdr:row>22</xdr:row>
      <xdr:rowOff>166159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3543300" y="3876675"/>
          <a:ext cx="224790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1 month</a:t>
          </a:r>
        </a:p>
      </xdr:txBody>
    </xdr:sp>
    <xdr:clientData/>
  </xdr:twoCellAnchor>
  <xdr:twoCellAnchor>
    <xdr:from>
      <xdr:col>14</xdr:col>
      <xdr:colOff>504825</xdr:colOff>
      <xdr:row>20</xdr:row>
      <xdr:rowOff>19050</xdr:rowOff>
    </xdr:from>
    <xdr:to>
      <xdr:col>18</xdr:col>
      <xdr:colOff>314325</xdr:colOff>
      <xdr:row>22</xdr:row>
      <xdr:rowOff>118534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9039225" y="3829050"/>
          <a:ext cx="2247900" cy="480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60 months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292099</xdr:colOff>
      <xdr:row>2</xdr:row>
      <xdr:rowOff>131233</xdr:rowOff>
    </xdr:from>
    <xdr:to>
      <xdr:col>14</xdr:col>
      <xdr:colOff>371474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2120899" y="512233"/>
          <a:ext cx="6784975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6. Message Content and Delivery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135465</xdr:colOff>
      <xdr:row>7</xdr:row>
      <xdr:rowOff>81490</xdr:rowOff>
    </xdr:from>
    <xdr:to>
      <xdr:col>16</xdr:col>
      <xdr:colOff>357715</xdr:colOff>
      <xdr:row>27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2573865" y="1414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5. Positioning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148166</xdr:colOff>
      <xdr:row>0</xdr:row>
      <xdr:rowOff>104773</xdr:rowOff>
    </xdr:from>
    <xdr:to>
      <xdr:col>3</xdr:col>
      <xdr:colOff>599015</xdr:colOff>
      <xdr:row>4</xdr:row>
      <xdr:rowOff>0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61999" y="104773"/>
          <a:ext cx="1064683" cy="847727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2</xdr:col>
      <xdr:colOff>480483</xdr:colOff>
      <xdr:row>59</xdr:row>
      <xdr:rowOff>40216</xdr:rowOff>
    </xdr:from>
    <xdr:to>
      <xdr:col>5</xdr:col>
      <xdr:colOff>496358</xdr:colOff>
      <xdr:row>64</xdr:row>
      <xdr:rowOff>177799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80483" y="14708716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6</xdr:col>
      <xdr:colOff>457200</xdr:colOff>
      <xdr:row>1</xdr:row>
      <xdr:rowOff>38100</xdr:rowOff>
    </xdr:from>
    <xdr:to>
      <xdr:col>29</xdr:col>
      <xdr:colOff>446314</xdr:colOff>
      <xdr:row>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180114" y="223157"/>
          <a:ext cx="12159343" cy="5170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1. </a:t>
          </a:r>
          <a:r>
            <a:rPr lang="en-US" sz="3200">
              <a:solidFill>
                <a:srgbClr val="002060"/>
              </a:solidFill>
              <a:latin typeface="Lucida Bright" panose="02040602050505020304" pitchFamily="18" charset="0"/>
            </a:rPr>
            <a:t>Series A </a:t>
          </a:r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Financial Targets (balance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the equation)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454479</xdr:colOff>
      <xdr:row>25</xdr:row>
      <xdr:rowOff>84364</xdr:rowOff>
    </xdr:from>
    <xdr:to>
      <xdr:col>6</xdr:col>
      <xdr:colOff>205468</xdr:colOff>
      <xdr:row>28</xdr:row>
      <xdr:rowOff>155121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695450" y="4732564"/>
          <a:ext cx="2232932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Proposed Capital Rise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27</xdr:row>
          <xdr:rowOff>180975</xdr:rowOff>
        </xdr:from>
        <xdr:to>
          <xdr:col>9</xdr:col>
          <xdr:colOff>9525</xdr:colOff>
          <xdr:row>29</xdr:row>
          <xdr:rowOff>0</xdr:rowOff>
        </xdr:to>
        <xdr:sp macro="" textlink="">
          <xdr:nvSpPr>
            <xdr:cNvPr id="41985" name="ScrollBar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0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523876</xdr:colOff>
      <xdr:row>9</xdr:row>
      <xdr:rowOff>9524</xdr:rowOff>
    </xdr:from>
    <xdr:to>
      <xdr:col>12</xdr:col>
      <xdr:colOff>600076</xdr:colOff>
      <xdr:row>12</xdr:row>
      <xdr:rowOff>57149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791076" y="629602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Paying Patients YE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11</xdr:row>
          <xdr:rowOff>19050</xdr:rowOff>
        </xdr:from>
        <xdr:to>
          <xdr:col>14</xdr:col>
          <xdr:colOff>590550</xdr:colOff>
          <xdr:row>12</xdr:row>
          <xdr:rowOff>47625</xdr:rowOff>
        </xdr:to>
        <xdr:sp macro="" textlink="">
          <xdr:nvSpPr>
            <xdr:cNvPr id="41986" name="ScrollBar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0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504826</xdr:colOff>
      <xdr:row>12</xdr:row>
      <xdr:rowOff>180974</xdr:rowOff>
    </xdr:from>
    <xdr:to>
      <xdr:col>12</xdr:col>
      <xdr:colOff>581026</xdr:colOff>
      <xdr:row>16</xdr:row>
      <xdr:rowOff>38099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4772026" y="7038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Paying Patients YE 2022</a:t>
          </a:r>
        </a:p>
      </xdr:txBody>
    </xdr:sp>
    <xdr:clientData/>
  </xdr:twoCellAnchor>
  <xdr:twoCellAnchor>
    <xdr:from>
      <xdr:col>9</xdr:col>
      <xdr:colOff>542926</xdr:colOff>
      <xdr:row>16</xdr:row>
      <xdr:rowOff>180974</xdr:rowOff>
    </xdr:from>
    <xdr:to>
      <xdr:col>13</xdr:col>
      <xdr:colOff>9526</xdr:colOff>
      <xdr:row>20</xdr:row>
      <xdr:rowOff>38099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10126" y="7800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Paying Patients YE 2023</a:t>
          </a:r>
        </a:p>
      </xdr:txBody>
    </xdr:sp>
    <xdr:clientData/>
  </xdr:twoCellAnchor>
  <xdr:twoCellAnchor>
    <xdr:from>
      <xdr:col>9</xdr:col>
      <xdr:colOff>542926</xdr:colOff>
      <xdr:row>20</xdr:row>
      <xdr:rowOff>190499</xdr:rowOff>
    </xdr:from>
    <xdr:to>
      <xdr:col>13</xdr:col>
      <xdr:colOff>9526</xdr:colOff>
      <xdr:row>24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4810126" y="8572499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Paying Patients YE 2024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15</xdr:row>
          <xdr:rowOff>0</xdr:rowOff>
        </xdr:from>
        <xdr:to>
          <xdr:col>14</xdr:col>
          <xdr:colOff>590550</xdr:colOff>
          <xdr:row>16</xdr:row>
          <xdr:rowOff>66675</xdr:rowOff>
        </xdr:to>
        <xdr:sp macro="" textlink="">
          <xdr:nvSpPr>
            <xdr:cNvPr id="41987" name="ScrollBar3" hidden="1">
              <a:extLst>
                <a:ext uri="{63B3BB69-23CF-44E3-9099-C40C66FF867C}">
                  <a14:compatExt spid="_x0000_s41987"/>
                </a:ext>
                <a:ext uri="{FF2B5EF4-FFF2-40B4-BE49-F238E27FC236}">
                  <a16:creationId xmlns:a16="http://schemas.microsoft.com/office/drawing/2014/main" id="{00000000-0008-0000-0000-000003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19</xdr:row>
          <xdr:rowOff>0</xdr:rowOff>
        </xdr:from>
        <xdr:to>
          <xdr:col>14</xdr:col>
          <xdr:colOff>590550</xdr:colOff>
          <xdr:row>20</xdr:row>
          <xdr:rowOff>66675</xdr:rowOff>
        </xdr:to>
        <xdr:sp macro="" textlink="">
          <xdr:nvSpPr>
            <xdr:cNvPr id="41988" name="ScrollBar4" hidden="1">
              <a:extLst>
                <a:ext uri="{63B3BB69-23CF-44E3-9099-C40C66FF867C}">
                  <a14:compatExt spid="_x0000_s41988"/>
                </a:ext>
                <a:ext uri="{FF2B5EF4-FFF2-40B4-BE49-F238E27FC236}">
                  <a16:creationId xmlns:a16="http://schemas.microsoft.com/office/drawing/2014/main" id="{00000000-0008-0000-0000-000004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600075</xdr:colOff>
          <xdr:row>23</xdr:row>
          <xdr:rowOff>19050</xdr:rowOff>
        </xdr:from>
        <xdr:to>
          <xdr:col>14</xdr:col>
          <xdr:colOff>590550</xdr:colOff>
          <xdr:row>24</xdr:row>
          <xdr:rowOff>76200</xdr:rowOff>
        </xdr:to>
        <xdr:sp macro="" textlink="">
          <xdr:nvSpPr>
            <xdr:cNvPr id="41989" name="ScrollBar5" hidden="1">
              <a:extLst>
                <a:ext uri="{63B3BB69-23CF-44E3-9099-C40C66FF867C}">
                  <a14:compatExt spid="_x0000_s41989"/>
                </a:ext>
                <a:ext uri="{FF2B5EF4-FFF2-40B4-BE49-F238E27FC236}">
                  <a16:creationId xmlns:a16="http://schemas.microsoft.com/office/drawing/2014/main" id="{00000000-0008-0000-0000-000005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17993</xdr:colOff>
      <xdr:row>4</xdr:row>
      <xdr:rowOff>105833</xdr:rowOff>
    </xdr:from>
    <xdr:to>
      <xdr:col>16</xdr:col>
      <xdr:colOff>21167</xdr:colOff>
      <xdr:row>8</xdr:row>
      <xdr:rowOff>185208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276168" y="5439833"/>
          <a:ext cx="1003299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Revenue/Patient</a:t>
          </a:r>
        </a:p>
      </xdr:txBody>
    </xdr:sp>
    <xdr:clientData/>
  </xdr:twoCellAnchor>
  <xdr:twoCellAnchor>
    <xdr:from>
      <xdr:col>16</xdr:col>
      <xdr:colOff>232834</xdr:colOff>
      <xdr:row>4</xdr:row>
      <xdr:rowOff>120649</xdr:rowOff>
    </xdr:from>
    <xdr:to>
      <xdr:col>18</xdr:col>
      <xdr:colOff>224366</xdr:colOff>
      <xdr:row>9</xdr:row>
      <xdr:rowOff>9524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9491134" y="5454649"/>
          <a:ext cx="905932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Revenue/Patient</a:t>
          </a:r>
        </a:p>
      </xdr:txBody>
    </xdr:sp>
    <xdr:clientData/>
  </xdr:twoCellAnchor>
  <xdr:twoCellAnchor>
    <xdr:from>
      <xdr:col>20</xdr:col>
      <xdr:colOff>21168</xdr:colOff>
      <xdr:row>4</xdr:row>
      <xdr:rowOff>114299</xdr:rowOff>
    </xdr:from>
    <xdr:to>
      <xdr:col>21</xdr:col>
      <xdr:colOff>550334</xdr:colOff>
      <xdr:row>8</xdr:row>
      <xdr:rowOff>158750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10546293" y="5448299"/>
          <a:ext cx="1138766" cy="80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</a:t>
          </a:r>
        </a:p>
      </xdr:txBody>
    </xdr:sp>
    <xdr:clientData/>
  </xdr:twoCellAnchor>
  <xdr:twoCellAnchor>
    <xdr:from>
      <xdr:col>1</xdr:col>
      <xdr:colOff>244475</xdr:colOff>
      <xdr:row>4</xdr:row>
      <xdr:rowOff>74083</xdr:rowOff>
    </xdr:from>
    <xdr:to>
      <xdr:col>4</xdr:col>
      <xdr:colOff>618067</xdr:colOff>
      <xdr:row>7</xdr:row>
      <xdr:rowOff>150283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873125" y="797983"/>
          <a:ext cx="2259542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Assumes Year End Convention</a:t>
          </a:r>
        </a:p>
      </xdr:txBody>
    </xdr:sp>
    <xdr:clientData/>
  </xdr:twoCellAnchor>
  <xdr:twoCellAnchor>
    <xdr:from>
      <xdr:col>2</xdr:col>
      <xdr:colOff>573616</xdr:colOff>
      <xdr:row>13</xdr:row>
      <xdr:rowOff>122766</xdr:rowOff>
    </xdr:from>
    <xdr:to>
      <xdr:col>6</xdr:col>
      <xdr:colOff>331258</xdr:colOff>
      <xdr:row>17</xdr:row>
      <xdr:rowOff>76200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814587" y="2550280"/>
          <a:ext cx="2239585" cy="693663"/>
        </a:xfrm>
        <a:prstGeom prst="rect">
          <a:avLst/>
        </a:prstGeom>
        <a:solidFill>
          <a:schemeClr val="accent4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Return Multiplier on Capital Investment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16</xdr:row>
          <xdr:rowOff>28575</xdr:rowOff>
        </xdr:from>
        <xdr:to>
          <xdr:col>9</xdr:col>
          <xdr:colOff>9525</xdr:colOff>
          <xdr:row>17</xdr:row>
          <xdr:rowOff>66675</xdr:rowOff>
        </xdr:to>
        <xdr:sp macro="" textlink="">
          <xdr:nvSpPr>
            <xdr:cNvPr id="41990" name="ScrollBar6" hidden="1">
              <a:extLst>
                <a:ext uri="{63B3BB69-23CF-44E3-9099-C40C66FF867C}">
                  <a14:compatExt spid="_x0000_s41990"/>
                </a:ext>
                <a:ext uri="{FF2B5EF4-FFF2-40B4-BE49-F238E27FC236}">
                  <a16:creationId xmlns:a16="http://schemas.microsoft.com/office/drawing/2014/main" id="{00000000-0008-0000-0000-000006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424543</xdr:colOff>
      <xdr:row>29</xdr:row>
      <xdr:rowOff>280851</xdr:rowOff>
    </xdr:from>
    <xdr:to>
      <xdr:col>12</xdr:col>
      <xdr:colOff>500742</xdr:colOff>
      <xdr:row>32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008914" y="5799908"/>
          <a:ext cx="2090057" cy="51380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Valuation</a:t>
          </a:r>
        </a:p>
      </xdr:txBody>
    </xdr:sp>
    <xdr:clientData/>
  </xdr:twoCellAnchor>
  <xdr:twoCellAnchor>
    <xdr:from>
      <xdr:col>2</xdr:col>
      <xdr:colOff>468085</xdr:colOff>
      <xdr:row>20</xdr:row>
      <xdr:rowOff>152401</xdr:rowOff>
    </xdr:from>
    <xdr:to>
      <xdr:col>6</xdr:col>
      <xdr:colOff>250372</xdr:colOff>
      <xdr:row>23</xdr:row>
      <xdr:rowOff>136979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709056" y="3875315"/>
          <a:ext cx="2264230" cy="539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Pre Money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47625</xdr:colOff>
          <xdr:row>11</xdr:row>
          <xdr:rowOff>0</xdr:rowOff>
        </xdr:from>
        <xdr:to>
          <xdr:col>15</xdr:col>
          <xdr:colOff>1009650</xdr:colOff>
          <xdr:row>12</xdr:row>
          <xdr:rowOff>66675</xdr:rowOff>
        </xdr:to>
        <xdr:sp macro="" textlink="">
          <xdr:nvSpPr>
            <xdr:cNvPr id="41991" name="ScrollBar7" hidden="1">
              <a:extLst>
                <a:ext uri="{63B3BB69-23CF-44E3-9099-C40C66FF867C}">
                  <a14:compatExt spid="_x0000_s41991"/>
                </a:ext>
                <a:ext uri="{FF2B5EF4-FFF2-40B4-BE49-F238E27FC236}">
                  <a16:creationId xmlns:a16="http://schemas.microsoft.com/office/drawing/2014/main" id="{00000000-0008-0000-0000-000007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15</xdr:row>
          <xdr:rowOff>19050</xdr:rowOff>
        </xdr:from>
        <xdr:to>
          <xdr:col>15</xdr:col>
          <xdr:colOff>1009650</xdr:colOff>
          <xdr:row>16</xdr:row>
          <xdr:rowOff>76200</xdr:rowOff>
        </xdr:to>
        <xdr:sp macro="" textlink="">
          <xdr:nvSpPr>
            <xdr:cNvPr id="41992" name="ScrollBar8" hidden="1">
              <a:extLst>
                <a:ext uri="{63B3BB69-23CF-44E3-9099-C40C66FF867C}">
                  <a14:compatExt spid="_x0000_s41992"/>
                </a:ext>
                <a:ext uri="{FF2B5EF4-FFF2-40B4-BE49-F238E27FC236}">
                  <a16:creationId xmlns:a16="http://schemas.microsoft.com/office/drawing/2014/main" id="{00000000-0008-0000-0000-000008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19</xdr:row>
          <xdr:rowOff>19050</xdr:rowOff>
        </xdr:from>
        <xdr:to>
          <xdr:col>15</xdr:col>
          <xdr:colOff>1000125</xdr:colOff>
          <xdr:row>20</xdr:row>
          <xdr:rowOff>76200</xdr:rowOff>
        </xdr:to>
        <xdr:sp macro="" textlink="">
          <xdr:nvSpPr>
            <xdr:cNvPr id="41993" name="ScrollBar9" hidden="1">
              <a:extLst>
                <a:ext uri="{63B3BB69-23CF-44E3-9099-C40C66FF867C}">
                  <a14:compatExt spid="_x0000_s41993"/>
                </a:ext>
                <a:ext uri="{FF2B5EF4-FFF2-40B4-BE49-F238E27FC236}">
                  <a16:creationId xmlns:a16="http://schemas.microsoft.com/office/drawing/2014/main" id="{00000000-0008-0000-0000-000009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57150</xdr:colOff>
          <xdr:row>23</xdr:row>
          <xdr:rowOff>19050</xdr:rowOff>
        </xdr:from>
        <xdr:to>
          <xdr:col>15</xdr:col>
          <xdr:colOff>981075</xdr:colOff>
          <xdr:row>24</xdr:row>
          <xdr:rowOff>76200</xdr:rowOff>
        </xdr:to>
        <xdr:sp macro="" textlink="">
          <xdr:nvSpPr>
            <xdr:cNvPr id="41994" name="ScrollBar10" hidden="1">
              <a:extLst>
                <a:ext uri="{63B3BB69-23CF-44E3-9099-C40C66FF867C}">
                  <a14:compatExt spid="_x0000_s41994"/>
                </a:ext>
                <a:ext uri="{FF2B5EF4-FFF2-40B4-BE49-F238E27FC236}">
                  <a16:creationId xmlns:a16="http://schemas.microsoft.com/office/drawing/2014/main" id="{00000000-0008-0000-0000-00000A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211667</xdr:colOff>
      <xdr:row>5</xdr:row>
      <xdr:rowOff>169333</xdr:rowOff>
    </xdr:from>
    <xdr:to>
      <xdr:col>9</xdr:col>
      <xdr:colOff>264584</xdr:colOff>
      <xdr:row>35</xdr:row>
      <xdr:rowOff>179917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>
          <a:off x="4478867" y="5693833"/>
          <a:ext cx="52917" cy="53445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486835</xdr:colOff>
      <xdr:row>25</xdr:row>
      <xdr:rowOff>10585</xdr:rowOff>
    </xdr:from>
    <xdr:to>
      <xdr:col>12</xdr:col>
      <xdr:colOff>582083</xdr:colOff>
      <xdr:row>28</xdr:row>
      <xdr:rowOff>50801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25635" y="5056718"/>
          <a:ext cx="2110315" cy="6159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Multiplier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27</xdr:row>
          <xdr:rowOff>9525</xdr:rowOff>
        </xdr:from>
        <xdr:to>
          <xdr:col>14</xdr:col>
          <xdr:colOff>600075</xdr:colOff>
          <xdr:row>28</xdr:row>
          <xdr:rowOff>57150</xdr:rowOff>
        </xdr:to>
        <xdr:sp macro="" textlink="">
          <xdr:nvSpPr>
            <xdr:cNvPr id="41995" name="ScrollBar11" hidden="1">
              <a:extLst>
                <a:ext uri="{63B3BB69-23CF-44E3-9099-C40C66FF867C}">
                  <a14:compatExt spid="_x0000_s41995"/>
                </a:ext>
                <a:ext uri="{FF2B5EF4-FFF2-40B4-BE49-F238E27FC236}">
                  <a16:creationId xmlns:a16="http://schemas.microsoft.com/office/drawing/2014/main" id="{00000000-0008-0000-0000-00000B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70152</xdr:colOff>
      <xdr:row>43</xdr:row>
      <xdr:rowOff>84668</xdr:rowOff>
    </xdr:from>
    <xdr:to>
      <xdr:col>21</xdr:col>
      <xdr:colOff>120954</xdr:colOff>
      <xdr:row>43</xdr:row>
      <xdr:rowOff>112184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CxnSpPr/>
      </xdr:nvCxnSpPr>
      <xdr:spPr>
        <a:xfrm flipV="1">
          <a:off x="1311123" y="8466668"/>
          <a:ext cx="11557002" cy="275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97367</xdr:colOff>
      <xdr:row>4</xdr:row>
      <xdr:rowOff>139699</xdr:rowOff>
    </xdr:from>
    <xdr:to>
      <xdr:col>24</xdr:col>
      <xdr:colOff>592665</xdr:colOff>
      <xdr:row>8</xdr:row>
      <xdr:rowOff>135466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3381567" y="1257299"/>
          <a:ext cx="1240365" cy="740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Gross Margin (%)</a:t>
          </a:r>
        </a:p>
      </xdr:txBody>
    </xdr:sp>
    <xdr:clientData/>
  </xdr:twoCellAnchor>
  <xdr:twoCellAnchor>
    <xdr:from>
      <xdr:col>25</xdr:col>
      <xdr:colOff>93134</xdr:colOff>
      <xdr:row>4</xdr:row>
      <xdr:rowOff>135467</xdr:rowOff>
    </xdr:from>
    <xdr:to>
      <xdr:col>27</xdr:col>
      <xdr:colOff>571499</xdr:colOff>
      <xdr:row>8</xdr:row>
      <xdr:rowOff>131234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4748934" y="1253067"/>
          <a:ext cx="1240365" cy="740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Gross Margin ($)</a:t>
          </a:r>
        </a:p>
      </xdr:txBody>
    </xdr:sp>
    <xdr:clientData/>
  </xdr:twoCellAnchor>
  <xdr:twoCellAnchor>
    <xdr:from>
      <xdr:col>2</xdr:col>
      <xdr:colOff>489857</xdr:colOff>
      <xdr:row>30</xdr:row>
      <xdr:rowOff>10885</xdr:rowOff>
    </xdr:from>
    <xdr:to>
      <xdr:col>6</xdr:col>
      <xdr:colOff>228599</xdr:colOff>
      <xdr:row>33</xdr:row>
      <xdr:rowOff>10885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730828" y="5704114"/>
          <a:ext cx="2220685" cy="6966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Post-Money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23</xdr:row>
          <xdr:rowOff>180975</xdr:rowOff>
        </xdr:from>
        <xdr:to>
          <xdr:col>8</xdr:col>
          <xdr:colOff>619125</xdr:colOff>
          <xdr:row>25</xdr:row>
          <xdr:rowOff>95250</xdr:rowOff>
        </xdr:to>
        <xdr:sp macro="" textlink="">
          <xdr:nvSpPr>
            <xdr:cNvPr id="41996" name="ScrollBar12" hidden="1">
              <a:extLst>
                <a:ext uri="{63B3BB69-23CF-44E3-9099-C40C66FF867C}">
                  <a14:compatExt spid="_x0000_s41996"/>
                </a:ext>
                <a:ext uri="{FF2B5EF4-FFF2-40B4-BE49-F238E27FC236}">
                  <a16:creationId xmlns:a16="http://schemas.microsoft.com/office/drawing/2014/main" id="{00000000-0008-0000-0000-00000C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426962</xdr:colOff>
      <xdr:row>36</xdr:row>
      <xdr:rowOff>8469</xdr:rowOff>
    </xdr:from>
    <xdr:to>
      <xdr:col>6</xdr:col>
      <xdr:colOff>136980</xdr:colOff>
      <xdr:row>38</xdr:row>
      <xdr:rowOff>174476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1667933" y="6975326"/>
          <a:ext cx="2191961" cy="5361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New Equity Required</a:t>
          </a:r>
        </a:p>
      </xdr:txBody>
    </xdr:sp>
    <xdr:clientData/>
  </xdr:twoCellAnchor>
  <xdr:twoCellAnchor>
    <xdr:from>
      <xdr:col>0</xdr:col>
      <xdr:colOff>489858</xdr:colOff>
      <xdr:row>34</xdr:row>
      <xdr:rowOff>47172</xdr:rowOff>
    </xdr:from>
    <xdr:to>
      <xdr:col>9</xdr:col>
      <xdr:colOff>235857</xdr:colOff>
      <xdr:row>34</xdr:row>
      <xdr:rowOff>72572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>
          <a:off x="489858" y="6633029"/>
          <a:ext cx="5330370" cy="25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355903</xdr:colOff>
      <xdr:row>38</xdr:row>
      <xdr:rowOff>51041</xdr:rowOff>
    </xdr:from>
    <xdr:to>
      <xdr:col>12</xdr:col>
      <xdr:colOff>461737</xdr:colOff>
      <xdr:row>41</xdr:row>
      <xdr:rowOff>108857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5940274" y="7507755"/>
          <a:ext cx="2119692" cy="6129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Proportion of the YE 2024 Valuation Required</a:t>
          </a:r>
        </a:p>
      </xdr:txBody>
    </xdr:sp>
    <xdr:clientData/>
  </xdr:twoCellAnchor>
  <xdr:twoCellAnchor>
    <xdr:from>
      <xdr:col>18</xdr:col>
      <xdr:colOff>541866</xdr:colOff>
      <xdr:row>37</xdr:row>
      <xdr:rowOff>8467</xdr:rowOff>
    </xdr:from>
    <xdr:to>
      <xdr:col>19</xdr:col>
      <xdr:colOff>643467</xdr:colOff>
      <xdr:row>38</xdr:row>
      <xdr:rowOff>152400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>
        <a:xfrm flipH="1">
          <a:off x="5554133" y="7162800"/>
          <a:ext cx="728134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20</xdr:row>
      <xdr:rowOff>101600</xdr:rowOff>
    </xdr:from>
    <xdr:to>
      <xdr:col>13</xdr:col>
      <xdr:colOff>16933</xdr:colOff>
      <xdr:row>34</xdr:row>
      <xdr:rowOff>84667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CxnSpPr/>
      </xdr:nvCxnSpPr>
      <xdr:spPr>
        <a:xfrm>
          <a:off x="5469467" y="4216400"/>
          <a:ext cx="2827866" cy="2641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420159</xdr:colOff>
      <xdr:row>25</xdr:row>
      <xdr:rowOff>29636</xdr:rowOff>
    </xdr:from>
    <xdr:to>
      <xdr:col>27</xdr:col>
      <xdr:colOff>561974</xdr:colOff>
      <xdr:row>27</xdr:row>
      <xdr:rowOff>9526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10183284" y="4573061"/>
          <a:ext cx="5437715" cy="36089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I Salesperson</a:t>
          </a:r>
        </a:p>
      </xdr:txBody>
    </xdr:sp>
    <xdr:clientData/>
  </xdr:twoCellAnchor>
  <xdr:twoCellAnchor>
    <xdr:from>
      <xdr:col>28</xdr:col>
      <xdr:colOff>114300</xdr:colOff>
      <xdr:row>25</xdr:row>
      <xdr:rowOff>19050</xdr:rowOff>
    </xdr:from>
    <xdr:to>
      <xdr:col>30</xdr:col>
      <xdr:colOff>247650</xdr:colOff>
      <xdr:row>26</xdr:row>
      <xdr:rowOff>189440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15801975" y="4562475"/>
          <a:ext cx="1085850" cy="36089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Objectives</a:t>
          </a:r>
        </a:p>
      </xdr:txBody>
    </xdr:sp>
    <xdr:clientData/>
  </xdr:twoCellAnchor>
  <xdr:twoCellAnchor>
    <xdr:from>
      <xdr:col>30</xdr:col>
      <xdr:colOff>400050</xdr:colOff>
      <xdr:row>25</xdr:row>
      <xdr:rowOff>38100</xdr:rowOff>
    </xdr:from>
    <xdr:to>
      <xdr:col>32</xdr:col>
      <xdr:colOff>228600</xdr:colOff>
      <xdr:row>27</xdr:row>
      <xdr:rowOff>17990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17040225" y="4581525"/>
          <a:ext cx="1085850" cy="36089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Reps</a:t>
          </a:r>
        </a:p>
      </xdr:txBody>
    </xdr:sp>
    <xdr:clientData/>
  </xdr:twoCellAnchor>
  <xdr:twoCellAnchor>
    <xdr:from>
      <xdr:col>14</xdr:col>
      <xdr:colOff>326571</xdr:colOff>
      <xdr:row>22</xdr:row>
      <xdr:rowOff>130628</xdr:rowOff>
    </xdr:from>
    <xdr:to>
      <xdr:col>26</xdr:col>
      <xdr:colOff>239487</xdr:colOff>
      <xdr:row>30</xdr:row>
      <xdr:rowOff>163286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33D52B25-C737-4F54-A05F-5B211491D6DA}"/>
            </a:ext>
          </a:extLst>
        </xdr:cNvPr>
        <xdr:cNvCxnSpPr/>
      </xdr:nvCxnSpPr>
      <xdr:spPr>
        <a:xfrm flipH="1">
          <a:off x="9372600" y="4223657"/>
          <a:ext cx="5301344" cy="1752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217715</xdr:colOff>
      <xdr:row>25</xdr:row>
      <xdr:rowOff>119743</xdr:rowOff>
    </xdr:from>
    <xdr:to>
      <xdr:col>14</xdr:col>
      <xdr:colOff>21772</xdr:colOff>
      <xdr:row>30</xdr:row>
      <xdr:rowOff>217715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61B78E29-5E1C-41EB-8608-2D821348D406}"/>
            </a:ext>
          </a:extLst>
        </xdr:cNvPr>
        <xdr:cNvCxnSpPr/>
      </xdr:nvCxnSpPr>
      <xdr:spPr>
        <a:xfrm>
          <a:off x="8436429" y="4767943"/>
          <a:ext cx="631372" cy="12627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411541</xdr:colOff>
      <xdr:row>33</xdr:row>
      <xdr:rowOff>106679</xdr:rowOff>
    </xdr:from>
    <xdr:to>
      <xdr:col>12</xdr:col>
      <xdr:colOff>517375</xdr:colOff>
      <xdr:row>36</xdr:row>
      <xdr:rowOff>43543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2E31A07-84A0-4417-AB19-C372A75C5267}"/>
            </a:ext>
          </a:extLst>
        </xdr:cNvPr>
        <xdr:cNvSpPr txBox="1"/>
      </xdr:nvSpPr>
      <xdr:spPr>
        <a:xfrm>
          <a:off x="5995912" y="6616336"/>
          <a:ext cx="2119692" cy="513807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Expected Return at Exit</a:t>
          </a:r>
        </a:p>
      </xdr:txBody>
    </xdr:sp>
    <xdr:clientData/>
  </xdr:twoCellAnchor>
  <xdr:twoCellAnchor>
    <xdr:from>
      <xdr:col>0</xdr:col>
      <xdr:colOff>533401</xdr:colOff>
      <xdr:row>18</xdr:row>
      <xdr:rowOff>166914</xdr:rowOff>
    </xdr:from>
    <xdr:to>
      <xdr:col>9</xdr:col>
      <xdr:colOff>279400</xdr:colOff>
      <xdr:row>19</xdr:row>
      <xdr:rowOff>7257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70E9D32B-81C1-4056-AB71-3C3CAEC76E5A}"/>
            </a:ext>
          </a:extLst>
        </xdr:cNvPr>
        <xdr:cNvCxnSpPr/>
      </xdr:nvCxnSpPr>
      <xdr:spPr>
        <a:xfrm>
          <a:off x="533401" y="3519714"/>
          <a:ext cx="5330370" cy="254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65314</xdr:colOff>
      <xdr:row>3</xdr:row>
      <xdr:rowOff>163286</xdr:rowOff>
    </xdr:from>
    <xdr:to>
      <xdr:col>19</xdr:col>
      <xdr:colOff>87086</xdr:colOff>
      <xdr:row>33</xdr:row>
      <xdr:rowOff>65315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71D15EB6-FBC3-4396-9223-8C8075DF39DF}"/>
            </a:ext>
          </a:extLst>
        </xdr:cNvPr>
        <xdr:cNvCxnSpPr/>
      </xdr:nvCxnSpPr>
      <xdr:spPr>
        <a:xfrm>
          <a:off x="12061371" y="718457"/>
          <a:ext cx="21772" cy="57367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325965</xdr:colOff>
      <xdr:row>19</xdr:row>
      <xdr:rowOff>152401</xdr:rowOff>
    </xdr:from>
    <xdr:to>
      <xdr:col>9</xdr:col>
      <xdr:colOff>85724</xdr:colOff>
      <xdr:row>24</xdr:row>
      <xdr:rowOff>95251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3983565" y="3390901"/>
          <a:ext cx="1588559" cy="895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Pull Strategy- patients "pull"clinics</a:t>
          </a: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282575</xdr:colOff>
      <xdr:row>3</xdr:row>
      <xdr:rowOff>45508</xdr:rowOff>
    </xdr:from>
    <xdr:to>
      <xdr:col>19</xdr:col>
      <xdr:colOff>123825</xdr:colOff>
      <xdr:row>9</xdr:row>
      <xdr:rowOff>123825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2111375" y="617008"/>
          <a:ext cx="9594850" cy="12213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4 a. Specific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Market Segments</a:t>
          </a:r>
        </a:p>
        <a:p>
          <a:pPr algn="ctr"/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Marketing Strategies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40</xdr:row>
      <xdr:rowOff>29633</xdr:rowOff>
    </xdr:from>
    <xdr:to>
      <xdr:col>3</xdr:col>
      <xdr:colOff>162983</xdr:colOff>
      <xdr:row>45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oneCellAnchor>
    <xdr:from>
      <xdr:col>9</xdr:col>
      <xdr:colOff>428625</xdr:colOff>
      <xdr:row>20</xdr:row>
      <xdr:rowOff>161922</xdr:rowOff>
    </xdr:from>
    <xdr:ext cx="1962150" cy="8477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5915025" y="3590922"/>
          <a:ext cx="1962150" cy="847727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Clinics</a:t>
          </a:r>
        </a:p>
      </xdr:txBody>
    </xdr:sp>
    <xdr:clientData/>
  </xdr:oneCellAnchor>
  <xdr:oneCellAnchor>
    <xdr:from>
      <xdr:col>3</xdr:col>
      <xdr:colOff>276225</xdr:colOff>
      <xdr:row>20</xdr:row>
      <xdr:rowOff>114301</xdr:rowOff>
    </xdr:from>
    <xdr:ext cx="1562100" cy="90487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2105025" y="3543301"/>
          <a:ext cx="1562100" cy="904874"/>
        </a:xfrm>
        <a:prstGeom prst="rect">
          <a:avLst/>
        </a:prstGeom>
        <a:solidFill>
          <a:schemeClr val="accent6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Patients</a:t>
          </a:r>
        </a:p>
      </xdr:txBody>
    </xdr:sp>
    <xdr:clientData/>
  </xdr:oneCellAnchor>
  <xdr:twoCellAnchor>
    <xdr:from>
      <xdr:col>11</xdr:col>
      <xdr:colOff>87840</xdr:colOff>
      <xdr:row>60</xdr:row>
      <xdr:rowOff>100540</xdr:rowOff>
    </xdr:from>
    <xdr:to>
      <xdr:col>13</xdr:col>
      <xdr:colOff>485775</xdr:colOff>
      <xdr:row>63</xdr:row>
      <xdr:rowOff>28575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oneCellAnchor>
    <xdr:from>
      <xdr:col>16</xdr:col>
      <xdr:colOff>95249</xdr:colOff>
      <xdr:row>21</xdr:row>
      <xdr:rowOff>19048</xdr:rowOff>
    </xdr:from>
    <xdr:ext cx="1609725" cy="742952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9848849" y="3638548"/>
          <a:ext cx="1609725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HC</a:t>
          </a:r>
        </a:p>
      </xdr:txBody>
    </xdr:sp>
    <xdr:clientData/>
  </xdr:oneCellAnchor>
  <xdr:twoCellAnchor>
    <xdr:from>
      <xdr:col>13</xdr:col>
      <xdr:colOff>276225</xdr:colOff>
      <xdr:row>21</xdr:row>
      <xdr:rowOff>76200</xdr:rowOff>
    </xdr:from>
    <xdr:to>
      <xdr:col>15</xdr:col>
      <xdr:colOff>390525</xdr:colOff>
      <xdr:row>25</xdr:row>
      <xdr:rowOff>4234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8201025" y="3695700"/>
          <a:ext cx="1333500" cy="6900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Push/Pull Strategy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4</xdr:col>
      <xdr:colOff>447676</xdr:colOff>
      <xdr:row>20</xdr:row>
      <xdr:rowOff>114301</xdr:rowOff>
    </xdr:from>
    <xdr:to>
      <xdr:col>17</xdr:col>
      <xdr:colOff>290513</xdr:colOff>
      <xdr:row>21</xdr:row>
      <xdr:rowOff>19048</xdr:rowOff>
    </xdr:to>
    <xdr:cxnSp macro="">
      <xdr:nvCxnSpPr>
        <xdr:cNvPr id="44" name="Elbow Connector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CxnSpPr>
          <a:stCxn id="27" idx="0"/>
          <a:endCxn id="7" idx="0"/>
        </xdr:cNvCxnSpPr>
      </xdr:nvCxnSpPr>
      <xdr:spPr>
        <a:xfrm rot="16200000" flipV="1">
          <a:off x="6722271" y="-292894"/>
          <a:ext cx="95247" cy="7767637"/>
        </a:xfrm>
        <a:prstGeom prst="bentConnector3">
          <a:avLst>
            <a:gd name="adj1" fmla="val 960027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487890</xdr:colOff>
      <xdr:row>10</xdr:row>
      <xdr:rowOff>91015</xdr:rowOff>
    </xdr:from>
    <xdr:to>
      <xdr:col>8</xdr:col>
      <xdr:colOff>400049</xdr:colOff>
      <xdr:row>14</xdr:row>
      <xdr:rowOff>133350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3535890" y="1996015"/>
          <a:ext cx="1740959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Brand Development</a:t>
          </a:r>
        </a:p>
      </xdr:txBody>
    </xdr:sp>
    <xdr:clientData/>
  </xdr:twoCellAnchor>
  <xdr:twoCellAnchor>
    <xdr:from>
      <xdr:col>9</xdr:col>
      <xdr:colOff>49740</xdr:colOff>
      <xdr:row>10</xdr:row>
      <xdr:rowOff>62440</xdr:rowOff>
    </xdr:from>
    <xdr:to>
      <xdr:col>11</xdr:col>
      <xdr:colOff>571499</xdr:colOff>
      <xdr:row>14</xdr:row>
      <xdr:rowOff>104775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5536140" y="1967440"/>
          <a:ext cx="1740959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Co-marketing</a:t>
          </a:r>
        </a:p>
      </xdr:txBody>
    </xdr:sp>
    <xdr:clientData/>
  </xdr:twoCellAnchor>
  <xdr:twoCellAnchor>
    <xdr:from>
      <xdr:col>12</xdr:col>
      <xdr:colOff>542925</xdr:colOff>
      <xdr:row>10</xdr:row>
      <xdr:rowOff>123825</xdr:rowOff>
    </xdr:from>
    <xdr:to>
      <xdr:col>15</xdr:col>
      <xdr:colOff>455084</xdr:colOff>
      <xdr:row>14</xdr:row>
      <xdr:rowOff>166160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7858125" y="2028825"/>
          <a:ext cx="1740959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Build Strategic Alliances</a:t>
          </a:r>
        </a:p>
      </xdr:txBody>
    </xdr:sp>
    <xdr:clientData/>
  </xdr:twoCellAnchor>
  <xdr:twoCellAnchor>
    <xdr:from>
      <xdr:col>3</xdr:col>
      <xdr:colOff>466725</xdr:colOff>
      <xdr:row>25</xdr:row>
      <xdr:rowOff>133350</xdr:rowOff>
    </xdr:from>
    <xdr:to>
      <xdr:col>10</xdr:col>
      <xdr:colOff>152400</xdr:colOff>
      <xdr:row>38</xdr:row>
      <xdr:rowOff>76200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2295525" y="4514850"/>
          <a:ext cx="3952875" cy="2419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Importance of Brand Development</a:t>
          </a:r>
        </a:p>
        <a:p>
          <a:pPr algn="ctr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1. Clinics compete for patients.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2. Patients differentiate between clinics.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3. HC can be one of these differentiators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4.  </a:t>
          </a:r>
        </a:p>
      </xdr:txBody>
    </xdr:sp>
    <xdr:clientData/>
  </xdr:twoCellAnchor>
  <xdr:twoCellAnchor>
    <xdr:from>
      <xdr:col>11</xdr:col>
      <xdr:colOff>381000</xdr:colOff>
      <xdr:row>26</xdr:row>
      <xdr:rowOff>0</xdr:rowOff>
    </xdr:from>
    <xdr:to>
      <xdr:col>18</xdr:col>
      <xdr:colOff>66675</xdr:colOff>
      <xdr:row>41</xdr:row>
      <xdr:rowOff>114300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7086600" y="4953000"/>
          <a:ext cx="3952875" cy="2971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00" baseline="0">
              <a:latin typeface="Lucida Bright" panose="02040602050505020304" pitchFamily="18" charset="0"/>
            </a:rPr>
            <a:t>1. HC "pushes" its solutions to clinics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    based on the value to a clinic: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a) better care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b) more revenue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c) more efficient operations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2. Clinics need differentiation and select</a:t>
          </a:r>
        </a:p>
        <a:p>
          <a:pPr algn="l"/>
          <a:r>
            <a:rPr lang="en-US" sz="1400" baseline="0">
              <a:latin typeface="Lucida Bright" panose="02040602050505020304" pitchFamily="18" charset="0"/>
            </a:rPr>
            <a:t>    (pull) the HC as such. 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  <a:p>
          <a:pPr algn="l"/>
          <a:r>
            <a:rPr lang="en-US" sz="1400" baseline="0">
              <a:latin typeface="Lucida Bright" panose="02040602050505020304" pitchFamily="18" charset="0"/>
            </a:rPr>
            <a:t>3. Use the direct channel of distribution</a:t>
          </a:r>
        </a:p>
        <a:p>
          <a:pPr algn="l"/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390525</xdr:colOff>
      <xdr:row>10</xdr:row>
      <xdr:rowOff>57150</xdr:rowOff>
    </xdr:from>
    <xdr:to>
      <xdr:col>4</xdr:col>
      <xdr:colOff>302684</xdr:colOff>
      <xdr:row>14</xdr:row>
      <xdr:rowOff>99485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000125" y="1962150"/>
          <a:ext cx="1740959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There are many different ways to build a brand.</a:t>
          </a:r>
        </a:p>
      </xdr:txBody>
    </xdr:sp>
    <xdr:clientData/>
  </xdr:twoCellAnchor>
  <xdr:twoCellAnchor>
    <xdr:from>
      <xdr:col>4</xdr:col>
      <xdr:colOff>485775</xdr:colOff>
      <xdr:row>8</xdr:row>
      <xdr:rowOff>142875</xdr:rowOff>
    </xdr:from>
    <xdr:to>
      <xdr:col>5</xdr:col>
      <xdr:colOff>123825</xdr:colOff>
      <xdr:row>16</xdr:row>
      <xdr:rowOff>28575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2924175" y="1666875"/>
          <a:ext cx="247650" cy="1409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15</xdr:col>
      <xdr:colOff>514350</xdr:colOff>
      <xdr:row>6</xdr:row>
      <xdr:rowOff>35984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2120900" y="512233"/>
          <a:ext cx="753745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4. Targeted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Market Segment Modified/Current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oneCellAnchor>
    <xdr:from>
      <xdr:col>15</xdr:col>
      <xdr:colOff>533400</xdr:colOff>
      <xdr:row>15</xdr:row>
      <xdr:rowOff>171448</xdr:rowOff>
    </xdr:from>
    <xdr:ext cx="1962150" cy="74295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9677400" y="302894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Current/Modified</a:t>
          </a:r>
        </a:p>
      </xdr:txBody>
    </xdr:sp>
    <xdr:clientData/>
  </xdr:oneCellAnchor>
  <xdr:oneCellAnchor>
    <xdr:from>
      <xdr:col>13</xdr:col>
      <xdr:colOff>47625</xdr:colOff>
      <xdr:row>15</xdr:row>
      <xdr:rowOff>171448</xdr:rowOff>
    </xdr:from>
    <xdr:ext cx="1562100" cy="74295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7972425" y="3028948"/>
          <a:ext cx="1562100" cy="742952"/>
        </a:xfrm>
        <a:prstGeom prst="rect">
          <a:avLst/>
        </a:prstGeom>
        <a:solidFill>
          <a:schemeClr val="accent6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oneCellAnchor>
  <xdr:twoCellAnchor>
    <xdr:from>
      <xdr:col>4</xdr:col>
      <xdr:colOff>171450</xdr:colOff>
      <xdr:row>27</xdr:row>
      <xdr:rowOff>57149</xdr:rowOff>
    </xdr:from>
    <xdr:to>
      <xdr:col>5</xdr:col>
      <xdr:colOff>304800</xdr:colOff>
      <xdr:row>31</xdr:row>
      <xdr:rowOff>76200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2609850" y="5200649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180975</xdr:colOff>
      <xdr:row>21</xdr:row>
      <xdr:rowOff>142874</xdr:rowOff>
    </xdr:from>
    <xdr:to>
      <xdr:col>7</xdr:col>
      <xdr:colOff>314325</xdr:colOff>
      <xdr:row>25</xdr:row>
      <xdr:rowOff>161925</xdr:rowOff>
    </xdr:to>
    <xdr:sp macro="" textlink="">
      <xdr:nvSpPr>
        <xdr:cNvPr id="8" name="Flowchart: Connector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3838575" y="4143374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257175</xdr:colOff>
      <xdr:row>21</xdr:row>
      <xdr:rowOff>123825</xdr:rowOff>
    </xdr:from>
    <xdr:to>
      <xdr:col>5</xdr:col>
      <xdr:colOff>390525</xdr:colOff>
      <xdr:row>25</xdr:row>
      <xdr:rowOff>142876</xdr:rowOff>
    </xdr:to>
    <xdr:sp macro="" textlink="">
      <xdr:nvSpPr>
        <xdr:cNvPr id="9" name="Flowchart: Connector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2695575" y="4124325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295275</xdr:colOff>
      <xdr:row>21</xdr:row>
      <xdr:rowOff>114300</xdr:rowOff>
    </xdr:from>
    <xdr:to>
      <xdr:col>3</xdr:col>
      <xdr:colOff>428625</xdr:colOff>
      <xdr:row>25</xdr:row>
      <xdr:rowOff>133351</xdr:rowOff>
    </xdr:to>
    <xdr:sp macro="" textlink="">
      <xdr:nvSpPr>
        <xdr:cNvPr id="10" name="Flowchart: Connector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1514475" y="4114800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485775</xdr:colOff>
      <xdr:row>15</xdr:row>
      <xdr:rowOff>85725</xdr:rowOff>
    </xdr:from>
    <xdr:to>
      <xdr:col>3</xdr:col>
      <xdr:colOff>9525</xdr:colOff>
      <xdr:row>19</xdr:row>
      <xdr:rowOff>104776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1095375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285750</xdr:colOff>
      <xdr:row>15</xdr:row>
      <xdr:rowOff>95250</xdr:rowOff>
    </xdr:from>
    <xdr:to>
      <xdr:col>4</xdr:col>
      <xdr:colOff>419100</xdr:colOff>
      <xdr:row>19</xdr:row>
      <xdr:rowOff>114301</xdr:rowOff>
    </xdr:to>
    <xdr:sp macro="" textlink="">
      <xdr:nvSpPr>
        <xdr:cNvPr id="12" name="Flowchart: Connector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21145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76200</xdr:colOff>
      <xdr:row>15</xdr:row>
      <xdr:rowOff>85725</xdr:rowOff>
    </xdr:from>
    <xdr:to>
      <xdr:col>6</xdr:col>
      <xdr:colOff>209550</xdr:colOff>
      <xdr:row>19</xdr:row>
      <xdr:rowOff>104776</xdr:rowOff>
    </xdr:to>
    <xdr:sp macro="" textlink="">
      <xdr:nvSpPr>
        <xdr:cNvPr id="13" name="Flowchart: Connector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3124200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552450</xdr:colOff>
      <xdr:row>15</xdr:row>
      <xdr:rowOff>95250</xdr:rowOff>
    </xdr:from>
    <xdr:to>
      <xdr:col>8</xdr:col>
      <xdr:colOff>76200</xdr:colOff>
      <xdr:row>19</xdr:row>
      <xdr:rowOff>114301</xdr:rowOff>
    </xdr:to>
    <xdr:sp macro="" textlink="">
      <xdr:nvSpPr>
        <xdr:cNvPr id="14" name="Flowchart: Connector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42100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171450</xdr:colOff>
      <xdr:row>27</xdr:row>
      <xdr:rowOff>66675</xdr:rowOff>
    </xdr:from>
    <xdr:to>
      <xdr:col>7</xdr:col>
      <xdr:colOff>304800</xdr:colOff>
      <xdr:row>31</xdr:row>
      <xdr:rowOff>85726</xdr:rowOff>
    </xdr:to>
    <xdr:sp macro="" textlink="">
      <xdr:nvSpPr>
        <xdr:cNvPr id="15" name="Flowchart: Connector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3829050" y="5210175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76200</xdr:colOff>
      <xdr:row>32</xdr:row>
      <xdr:rowOff>76200</xdr:rowOff>
    </xdr:from>
    <xdr:to>
      <xdr:col>5</xdr:col>
      <xdr:colOff>209550</xdr:colOff>
      <xdr:row>36</xdr:row>
      <xdr:rowOff>95251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2514600" y="6172200"/>
          <a:ext cx="742950" cy="781051"/>
        </a:xfrm>
        <a:prstGeom prst="flowChartConnector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361950</xdr:colOff>
      <xdr:row>20</xdr:row>
      <xdr:rowOff>76200</xdr:rowOff>
    </xdr:from>
    <xdr:to>
      <xdr:col>9</xdr:col>
      <xdr:colOff>114300</xdr:colOff>
      <xdr:row>20</xdr:row>
      <xdr:rowOff>104776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CxnSpPr/>
      </xdr:nvCxnSpPr>
      <xdr:spPr>
        <a:xfrm flipV="1">
          <a:off x="361950" y="38862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26</xdr:row>
      <xdr:rowOff>123825</xdr:rowOff>
    </xdr:from>
    <xdr:to>
      <xdr:col>8</xdr:col>
      <xdr:colOff>523875</xdr:colOff>
      <xdr:row>26</xdr:row>
      <xdr:rowOff>142875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CxnSpPr/>
      </xdr:nvCxnSpPr>
      <xdr:spPr>
        <a:xfrm flipV="1">
          <a:off x="352425" y="5076825"/>
          <a:ext cx="50482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32</xdr:row>
      <xdr:rowOff>38100</xdr:rowOff>
    </xdr:from>
    <xdr:to>
      <xdr:col>9</xdr:col>
      <xdr:colOff>47625</xdr:colOff>
      <xdr:row>32</xdr:row>
      <xdr:rowOff>66676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CxnSpPr/>
      </xdr:nvCxnSpPr>
      <xdr:spPr>
        <a:xfrm flipV="1">
          <a:off x="295275" y="61341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383115</xdr:colOff>
      <xdr:row>32</xdr:row>
      <xdr:rowOff>167215</xdr:rowOff>
    </xdr:from>
    <xdr:to>
      <xdr:col>11</xdr:col>
      <xdr:colOff>171450</xdr:colOff>
      <xdr:row>35</xdr:row>
      <xdr:rowOff>95250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5259915" y="626321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11</xdr:col>
      <xdr:colOff>87840</xdr:colOff>
      <xdr:row>58</xdr:row>
      <xdr:rowOff>100540</xdr:rowOff>
    </xdr:from>
    <xdr:to>
      <xdr:col>13</xdr:col>
      <xdr:colOff>485775</xdr:colOff>
      <xdr:row>61</xdr:row>
      <xdr:rowOff>28575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8</xdr:col>
      <xdr:colOff>354540</xdr:colOff>
      <xdr:row>27</xdr:row>
      <xdr:rowOff>110065</xdr:rowOff>
    </xdr:from>
    <xdr:to>
      <xdr:col>11</xdr:col>
      <xdr:colOff>142875</xdr:colOff>
      <xdr:row>30</xdr:row>
      <xdr:rowOff>38100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5231340" y="525356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First Expansion</a:t>
          </a:r>
        </a:p>
      </xdr:txBody>
    </xdr:sp>
    <xdr:clientData/>
  </xdr:twoCellAnchor>
  <xdr:twoCellAnchor>
    <xdr:from>
      <xdr:col>8</xdr:col>
      <xdr:colOff>342900</xdr:colOff>
      <xdr:row>21</xdr:row>
      <xdr:rowOff>104775</xdr:rowOff>
    </xdr:from>
    <xdr:to>
      <xdr:col>11</xdr:col>
      <xdr:colOff>131235</xdr:colOff>
      <xdr:row>24</xdr:row>
      <xdr:rowOff>32810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5219700" y="410527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2nd  Expansion</a:t>
          </a:r>
        </a:p>
      </xdr:txBody>
    </xdr:sp>
    <xdr:clientData/>
  </xdr:twoCellAnchor>
  <xdr:twoCellAnchor>
    <xdr:from>
      <xdr:col>8</xdr:col>
      <xdr:colOff>295275</xdr:colOff>
      <xdr:row>16</xdr:row>
      <xdr:rowOff>38100</xdr:rowOff>
    </xdr:from>
    <xdr:to>
      <xdr:col>11</xdr:col>
      <xdr:colOff>83610</xdr:colOff>
      <xdr:row>18</xdr:row>
      <xdr:rowOff>156635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5172075" y="308610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3rd  Expansion</a:t>
          </a:r>
        </a:p>
      </xdr:txBody>
    </xdr:sp>
    <xdr:clientData/>
  </xdr:twoCellAnchor>
  <xdr:oneCellAnchor>
    <xdr:from>
      <xdr:col>19</xdr:col>
      <xdr:colOff>180975</xdr:colOff>
      <xdr:row>15</xdr:row>
      <xdr:rowOff>161923</xdr:rowOff>
    </xdr:from>
    <xdr:ext cx="1962150" cy="742952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763375" y="30194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Current/New</a:t>
          </a:r>
        </a:p>
      </xdr:txBody>
    </xdr:sp>
    <xdr:clientData/>
  </xdr:oneCellAnchor>
  <xdr:oneCellAnchor>
    <xdr:from>
      <xdr:col>13</xdr:col>
      <xdr:colOff>28574</xdr:colOff>
      <xdr:row>20</xdr:row>
      <xdr:rowOff>85723</xdr:rowOff>
    </xdr:from>
    <xdr:ext cx="1609725" cy="742952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7953374" y="3895723"/>
          <a:ext cx="1609725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Modified/Current</a:t>
          </a:r>
        </a:p>
      </xdr:txBody>
    </xdr:sp>
    <xdr:clientData/>
  </xdr:oneCellAnchor>
  <xdr:oneCellAnchor>
    <xdr:from>
      <xdr:col>13</xdr:col>
      <xdr:colOff>47624</xdr:colOff>
      <xdr:row>12</xdr:row>
      <xdr:rowOff>104775</xdr:rowOff>
    </xdr:from>
    <xdr:ext cx="5724526" cy="50482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7972424" y="2390775"/>
          <a:ext cx="5724526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Market</a:t>
          </a:r>
        </a:p>
      </xdr:txBody>
    </xdr:sp>
    <xdr:clientData/>
  </xdr:oneCellAnchor>
  <xdr:oneCellAnchor>
    <xdr:from>
      <xdr:col>12</xdr:col>
      <xdr:colOff>57151</xdr:colOff>
      <xdr:row>12</xdr:row>
      <xdr:rowOff>152400</xdr:rowOff>
    </xdr:from>
    <xdr:ext cx="504825" cy="30670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 rot="16200000">
          <a:off x="6091237" y="3719514"/>
          <a:ext cx="3067053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Portfolio</a:t>
          </a:r>
        </a:p>
      </xdr:txBody>
    </xdr:sp>
    <xdr:clientData/>
  </xdr:oneCellAnchor>
  <xdr:oneCellAnchor>
    <xdr:from>
      <xdr:col>13</xdr:col>
      <xdr:colOff>38099</xdr:colOff>
      <xdr:row>25</xdr:row>
      <xdr:rowOff>9525</xdr:rowOff>
    </xdr:from>
    <xdr:ext cx="1609725" cy="74295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7962899" y="4772025"/>
          <a:ext cx="1609725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New/Current</a:t>
          </a:r>
        </a:p>
      </xdr:txBody>
    </xdr:sp>
    <xdr:clientData/>
  </xdr:oneCellAnchor>
  <xdr:oneCellAnchor>
    <xdr:from>
      <xdr:col>15</xdr:col>
      <xdr:colOff>542925</xdr:colOff>
      <xdr:row>20</xdr:row>
      <xdr:rowOff>76198</xdr:rowOff>
    </xdr:from>
    <xdr:ext cx="1962150" cy="74295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9686925" y="388619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Modified/Modified</a:t>
          </a:r>
        </a:p>
      </xdr:txBody>
    </xdr:sp>
    <xdr:clientData/>
  </xdr:oneCellAnchor>
  <xdr:oneCellAnchor>
    <xdr:from>
      <xdr:col>19</xdr:col>
      <xdr:colOff>190500</xdr:colOff>
      <xdr:row>20</xdr:row>
      <xdr:rowOff>47623</xdr:rowOff>
    </xdr:from>
    <xdr:ext cx="1962150" cy="74295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1772900" y="38576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Modified/New</a:t>
          </a:r>
        </a:p>
      </xdr:txBody>
    </xdr:sp>
    <xdr:clientData/>
  </xdr:oneCellAnchor>
  <xdr:oneCellAnchor>
    <xdr:from>
      <xdr:col>15</xdr:col>
      <xdr:colOff>561975</xdr:colOff>
      <xdr:row>24</xdr:row>
      <xdr:rowOff>180975</xdr:rowOff>
    </xdr:from>
    <xdr:ext cx="1962150" cy="74295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9705975" y="4752975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New/Modified</a:t>
          </a:r>
        </a:p>
      </xdr:txBody>
    </xdr:sp>
    <xdr:clientData/>
  </xdr:oneCellAnchor>
  <xdr:oneCellAnchor>
    <xdr:from>
      <xdr:col>19</xdr:col>
      <xdr:colOff>200025</xdr:colOff>
      <xdr:row>24</xdr:row>
      <xdr:rowOff>133350</xdr:rowOff>
    </xdr:from>
    <xdr:ext cx="1962150" cy="74295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1782425" y="4705350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New/New</a:t>
          </a:r>
        </a:p>
      </xdr:txBody>
    </xdr:sp>
    <xdr:clientData/>
  </xdr:oneCellAnchor>
  <xdr:twoCellAnchor>
    <xdr:from>
      <xdr:col>12</xdr:col>
      <xdr:colOff>192615</xdr:colOff>
      <xdr:row>31</xdr:row>
      <xdr:rowOff>24340</xdr:rowOff>
    </xdr:from>
    <xdr:to>
      <xdr:col>16</xdr:col>
      <xdr:colOff>371475</xdr:colOff>
      <xdr:row>35</xdr:row>
      <xdr:rowOff>66675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7507815" y="5929840"/>
          <a:ext cx="2617260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14</xdr:col>
      <xdr:colOff>352425</xdr:colOff>
      <xdr:row>8</xdr:row>
      <xdr:rowOff>0</xdr:rowOff>
    </xdr:from>
    <xdr:to>
      <xdr:col>16</xdr:col>
      <xdr:colOff>228601</xdr:colOff>
      <xdr:row>11</xdr:row>
      <xdr:rowOff>41148</xdr:rowOff>
    </xdr:to>
    <xdr:sp macro="" textlink="">
      <xdr:nvSpPr>
        <xdr:cNvPr id="35" name="Rounded Rectangular Callout 49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/>
      </xdr:nvSpPr>
      <xdr:spPr>
        <a:xfrm>
          <a:off x="8886825" y="1524000"/>
          <a:ext cx="1095376" cy="612648"/>
        </a:xfrm>
        <a:prstGeom prst="wedgeRoundRectCallout">
          <a:avLst>
            <a:gd name="adj1" fmla="val -94112"/>
            <a:gd name="adj2" fmla="val 233520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rgbClr val="002060"/>
              </a:solidFill>
            </a:rPr>
            <a:t>Click Here</a:t>
          </a:r>
        </a:p>
      </xdr:txBody>
    </xdr:sp>
    <xdr:clientData/>
  </xdr:twoCellAnchor>
  <xdr:twoCellAnchor>
    <xdr:from>
      <xdr:col>2</xdr:col>
      <xdr:colOff>209550</xdr:colOff>
      <xdr:row>27</xdr:row>
      <xdr:rowOff>57150</xdr:rowOff>
    </xdr:from>
    <xdr:to>
      <xdr:col>3</xdr:col>
      <xdr:colOff>342900</xdr:colOff>
      <xdr:row>31</xdr:row>
      <xdr:rowOff>76201</xdr:rowOff>
    </xdr:to>
    <xdr:sp macro="" textlink="">
      <xdr:nvSpPr>
        <xdr:cNvPr id="36" name="Flowchart: Connector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/>
      </xdr:nvSpPr>
      <xdr:spPr>
        <a:xfrm>
          <a:off x="1428750" y="5200650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15</xdr:col>
      <xdr:colOff>514350</xdr:colOff>
      <xdr:row>9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2120900" y="512233"/>
          <a:ext cx="7537450" cy="13737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4. Targeted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Market Segment Current/Modified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oneCellAnchor>
    <xdr:from>
      <xdr:col>15</xdr:col>
      <xdr:colOff>533400</xdr:colOff>
      <xdr:row>15</xdr:row>
      <xdr:rowOff>171448</xdr:rowOff>
    </xdr:from>
    <xdr:ext cx="1962150" cy="74295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9677400" y="302894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Current/Modified</a:t>
          </a:r>
        </a:p>
      </xdr:txBody>
    </xdr:sp>
    <xdr:clientData/>
  </xdr:oneCellAnchor>
  <xdr:oneCellAnchor>
    <xdr:from>
      <xdr:col>13</xdr:col>
      <xdr:colOff>47625</xdr:colOff>
      <xdr:row>15</xdr:row>
      <xdr:rowOff>171448</xdr:rowOff>
    </xdr:from>
    <xdr:ext cx="1562100" cy="74295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7972425" y="3028948"/>
          <a:ext cx="1562100" cy="742952"/>
        </a:xfrm>
        <a:prstGeom prst="rect">
          <a:avLst/>
        </a:prstGeom>
        <a:solidFill>
          <a:schemeClr val="accent6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oneCellAnchor>
  <xdr:twoCellAnchor>
    <xdr:from>
      <xdr:col>4</xdr:col>
      <xdr:colOff>171450</xdr:colOff>
      <xdr:row>27</xdr:row>
      <xdr:rowOff>57149</xdr:rowOff>
    </xdr:from>
    <xdr:to>
      <xdr:col>5</xdr:col>
      <xdr:colOff>304800</xdr:colOff>
      <xdr:row>31</xdr:row>
      <xdr:rowOff>76200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2609850" y="5200649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180975</xdr:colOff>
      <xdr:row>21</xdr:row>
      <xdr:rowOff>142874</xdr:rowOff>
    </xdr:from>
    <xdr:to>
      <xdr:col>7</xdr:col>
      <xdr:colOff>314325</xdr:colOff>
      <xdr:row>25</xdr:row>
      <xdr:rowOff>161925</xdr:rowOff>
    </xdr:to>
    <xdr:sp macro="" textlink="">
      <xdr:nvSpPr>
        <xdr:cNvPr id="8" name="Flowchart: Connector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3838575" y="4143374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257175</xdr:colOff>
      <xdr:row>21</xdr:row>
      <xdr:rowOff>123825</xdr:rowOff>
    </xdr:from>
    <xdr:to>
      <xdr:col>5</xdr:col>
      <xdr:colOff>390525</xdr:colOff>
      <xdr:row>25</xdr:row>
      <xdr:rowOff>142876</xdr:rowOff>
    </xdr:to>
    <xdr:sp macro="" textlink="">
      <xdr:nvSpPr>
        <xdr:cNvPr id="9" name="Flowchart: Connector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2695575" y="4124325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295275</xdr:colOff>
      <xdr:row>21</xdr:row>
      <xdr:rowOff>114300</xdr:rowOff>
    </xdr:from>
    <xdr:to>
      <xdr:col>3</xdr:col>
      <xdr:colOff>428625</xdr:colOff>
      <xdr:row>25</xdr:row>
      <xdr:rowOff>133351</xdr:rowOff>
    </xdr:to>
    <xdr:sp macro="" textlink="">
      <xdr:nvSpPr>
        <xdr:cNvPr id="10" name="Flowchart: Connector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1514475" y="4114800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485775</xdr:colOff>
      <xdr:row>15</xdr:row>
      <xdr:rowOff>85725</xdr:rowOff>
    </xdr:from>
    <xdr:to>
      <xdr:col>3</xdr:col>
      <xdr:colOff>9525</xdr:colOff>
      <xdr:row>19</xdr:row>
      <xdr:rowOff>104776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1095375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285750</xdr:colOff>
      <xdr:row>15</xdr:row>
      <xdr:rowOff>95250</xdr:rowOff>
    </xdr:from>
    <xdr:to>
      <xdr:col>4</xdr:col>
      <xdr:colOff>419100</xdr:colOff>
      <xdr:row>19</xdr:row>
      <xdr:rowOff>114301</xdr:rowOff>
    </xdr:to>
    <xdr:sp macro="" textlink="">
      <xdr:nvSpPr>
        <xdr:cNvPr id="12" name="Flowchart: Connector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21145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76200</xdr:colOff>
      <xdr:row>15</xdr:row>
      <xdr:rowOff>85725</xdr:rowOff>
    </xdr:from>
    <xdr:to>
      <xdr:col>6</xdr:col>
      <xdr:colOff>209550</xdr:colOff>
      <xdr:row>19</xdr:row>
      <xdr:rowOff>104776</xdr:rowOff>
    </xdr:to>
    <xdr:sp macro="" textlink="">
      <xdr:nvSpPr>
        <xdr:cNvPr id="13" name="Flowchart: Connector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3124200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552450</xdr:colOff>
      <xdr:row>15</xdr:row>
      <xdr:rowOff>95250</xdr:rowOff>
    </xdr:from>
    <xdr:to>
      <xdr:col>8</xdr:col>
      <xdr:colOff>76200</xdr:colOff>
      <xdr:row>19</xdr:row>
      <xdr:rowOff>114301</xdr:rowOff>
    </xdr:to>
    <xdr:sp macro="" textlink="">
      <xdr:nvSpPr>
        <xdr:cNvPr id="14" name="Flowchart: Connector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42100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171450</xdr:colOff>
      <xdr:row>27</xdr:row>
      <xdr:rowOff>66675</xdr:rowOff>
    </xdr:from>
    <xdr:to>
      <xdr:col>7</xdr:col>
      <xdr:colOff>304800</xdr:colOff>
      <xdr:row>31</xdr:row>
      <xdr:rowOff>85726</xdr:rowOff>
    </xdr:to>
    <xdr:sp macro="" textlink="">
      <xdr:nvSpPr>
        <xdr:cNvPr id="15" name="Flowchart: Connector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3829050" y="5210175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76200</xdr:colOff>
      <xdr:row>32</xdr:row>
      <xdr:rowOff>76200</xdr:rowOff>
    </xdr:from>
    <xdr:to>
      <xdr:col>5</xdr:col>
      <xdr:colOff>209550</xdr:colOff>
      <xdr:row>36</xdr:row>
      <xdr:rowOff>95251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/>
      </xdr:nvSpPr>
      <xdr:spPr>
        <a:xfrm>
          <a:off x="2514600" y="6172200"/>
          <a:ext cx="742950" cy="781051"/>
        </a:xfrm>
        <a:prstGeom prst="flowChartConnector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361950</xdr:colOff>
      <xdr:row>20</xdr:row>
      <xdr:rowOff>76200</xdr:rowOff>
    </xdr:from>
    <xdr:to>
      <xdr:col>9</xdr:col>
      <xdr:colOff>114300</xdr:colOff>
      <xdr:row>20</xdr:row>
      <xdr:rowOff>104776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CxnSpPr/>
      </xdr:nvCxnSpPr>
      <xdr:spPr>
        <a:xfrm flipV="1">
          <a:off x="361950" y="38862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26</xdr:row>
      <xdr:rowOff>123825</xdr:rowOff>
    </xdr:from>
    <xdr:to>
      <xdr:col>8</xdr:col>
      <xdr:colOff>523875</xdr:colOff>
      <xdr:row>26</xdr:row>
      <xdr:rowOff>142875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CxnSpPr/>
      </xdr:nvCxnSpPr>
      <xdr:spPr>
        <a:xfrm flipV="1">
          <a:off x="352425" y="5076825"/>
          <a:ext cx="50482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32</xdr:row>
      <xdr:rowOff>38100</xdr:rowOff>
    </xdr:from>
    <xdr:to>
      <xdr:col>9</xdr:col>
      <xdr:colOff>47625</xdr:colOff>
      <xdr:row>32</xdr:row>
      <xdr:rowOff>66676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CxnSpPr/>
      </xdr:nvCxnSpPr>
      <xdr:spPr>
        <a:xfrm flipV="1">
          <a:off x="295275" y="61341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383115</xdr:colOff>
      <xdr:row>32</xdr:row>
      <xdr:rowOff>167215</xdr:rowOff>
    </xdr:from>
    <xdr:to>
      <xdr:col>11</xdr:col>
      <xdr:colOff>171450</xdr:colOff>
      <xdr:row>35</xdr:row>
      <xdr:rowOff>95250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5259915" y="626321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11</xdr:col>
      <xdr:colOff>87840</xdr:colOff>
      <xdr:row>58</xdr:row>
      <xdr:rowOff>100540</xdr:rowOff>
    </xdr:from>
    <xdr:to>
      <xdr:col>13</xdr:col>
      <xdr:colOff>485775</xdr:colOff>
      <xdr:row>61</xdr:row>
      <xdr:rowOff>28575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8</xdr:col>
      <xdr:colOff>354540</xdr:colOff>
      <xdr:row>27</xdr:row>
      <xdr:rowOff>110065</xdr:rowOff>
    </xdr:from>
    <xdr:to>
      <xdr:col>11</xdr:col>
      <xdr:colOff>142875</xdr:colOff>
      <xdr:row>30</xdr:row>
      <xdr:rowOff>38100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 txBox="1"/>
      </xdr:nvSpPr>
      <xdr:spPr>
        <a:xfrm>
          <a:off x="5231340" y="525356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First Expansion</a:t>
          </a:r>
        </a:p>
      </xdr:txBody>
    </xdr:sp>
    <xdr:clientData/>
  </xdr:twoCellAnchor>
  <xdr:twoCellAnchor>
    <xdr:from>
      <xdr:col>8</xdr:col>
      <xdr:colOff>342900</xdr:colOff>
      <xdr:row>21</xdr:row>
      <xdr:rowOff>104775</xdr:rowOff>
    </xdr:from>
    <xdr:to>
      <xdr:col>11</xdr:col>
      <xdr:colOff>131235</xdr:colOff>
      <xdr:row>24</xdr:row>
      <xdr:rowOff>32810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5219700" y="410527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2nd  Expansion</a:t>
          </a:r>
        </a:p>
      </xdr:txBody>
    </xdr:sp>
    <xdr:clientData/>
  </xdr:twoCellAnchor>
  <xdr:twoCellAnchor>
    <xdr:from>
      <xdr:col>8</xdr:col>
      <xdr:colOff>295275</xdr:colOff>
      <xdr:row>16</xdr:row>
      <xdr:rowOff>38100</xdr:rowOff>
    </xdr:from>
    <xdr:to>
      <xdr:col>11</xdr:col>
      <xdr:colOff>83610</xdr:colOff>
      <xdr:row>18</xdr:row>
      <xdr:rowOff>156635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5172075" y="308610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3rd  Expansion</a:t>
          </a:r>
        </a:p>
      </xdr:txBody>
    </xdr:sp>
    <xdr:clientData/>
  </xdr:twoCellAnchor>
  <xdr:oneCellAnchor>
    <xdr:from>
      <xdr:col>19</xdr:col>
      <xdr:colOff>180975</xdr:colOff>
      <xdr:row>15</xdr:row>
      <xdr:rowOff>161923</xdr:rowOff>
    </xdr:from>
    <xdr:ext cx="1962150" cy="742952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763375" y="30194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Current/New</a:t>
          </a:r>
        </a:p>
      </xdr:txBody>
    </xdr:sp>
    <xdr:clientData/>
  </xdr:oneCellAnchor>
  <xdr:oneCellAnchor>
    <xdr:from>
      <xdr:col>13</xdr:col>
      <xdr:colOff>28574</xdr:colOff>
      <xdr:row>20</xdr:row>
      <xdr:rowOff>85723</xdr:rowOff>
    </xdr:from>
    <xdr:ext cx="1609725" cy="742952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7953374" y="3895723"/>
          <a:ext cx="1609725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Modified/Current</a:t>
          </a:r>
        </a:p>
      </xdr:txBody>
    </xdr:sp>
    <xdr:clientData/>
  </xdr:oneCellAnchor>
  <xdr:oneCellAnchor>
    <xdr:from>
      <xdr:col>13</xdr:col>
      <xdr:colOff>47624</xdr:colOff>
      <xdr:row>12</xdr:row>
      <xdr:rowOff>104775</xdr:rowOff>
    </xdr:from>
    <xdr:ext cx="5724526" cy="50482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7972424" y="2390775"/>
          <a:ext cx="5724526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Market</a:t>
          </a:r>
        </a:p>
      </xdr:txBody>
    </xdr:sp>
    <xdr:clientData/>
  </xdr:oneCellAnchor>
  <xdr:oneCellAnchor>
    <xdr:from>
      <xdr:col>12</xdr:col>
      <xdr:colOff>57151</xdr:colOff>
      <xdr:row>12</xdr:row>
      <xdr:rowOff>152400</xdr:rowOff>
    </xdr:from>
    <xdr:ext cx="504825" cy="30670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 rot="16200000">
          <a:off x="6091237" y="3719514"/>
          <a:ext cx="3067053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Portfolio</a:t>
          </a:r>
        </a:p>
      </xdr:txBody>
    </xdr:sp>
    <xdr:clientData/>
  </xdr:oneCellAnchor>
  <xdr:oneCellAnchor>
    <xdr:from>
      <xdr:col>13</xdr:col>
      <xdr:colOff>38099</xdr:colOff>
      <xdr:row>25</xdr:row>
      <xdr:rowOff>9525</xdr:rowOff>
    </xdr:from>
    <xdr:ext cx="1609725" cy="74295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7962899" y="4772025"/>
          <a:ext cx="1609725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New/Current</a:t>
          </a:r>
        </a:p>
      </xdr:txBody>
    </xdr:sp>
    <xdr:clientData/>
  </xdr:oneCellAnchor>
  <xdr:oneCellAnchor>
    <xdr:from>
      <xdr:col>15</xdr:col>
      <xdr:colOff>542925</xdr:colOff>
      <xdr:row>20</xdr:row>
      <xdr:rowOff>76198</xdr:rowOff>
    </xdr:from>
    <xdr:ext cx="1962150" cy="74295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9686925" y="388619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Modified/Modified</a:t>
          </a:r>
        </a:p>
      </xdr:txBody>
    </xdr:sp>
    <xdr:clientData/>
  </xdr:oneCellAnchor>
  <xdr:oneCellAnchor>
    <xdr:from>
      <xdr:col>19</xdr:col>
      <xdr:colOff>190500</xdr:colOff>
      <xdr:row>20</xdr:row>
      <xdr:rowOff>47623</xdr:rowOff>
    </xdr:from>
    <xdr:ext cx="1962150" cy="74295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772900" y="38576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Modified/New</a:t>
          </a:r>
        </a:p>
      </xdr:txBody>
    </xdr:sp>
    <xdr:clientData/>
  </xdr:oneCellAnchor>
  <xdr:oneCellAnchor>
    <xdr:from>
      <xdr:col>15</xdr:col>
      <xdr:colOff>561975</xdr:colOff>
      <xdr:row>24</xdr:row>
      <xdr:rowOff>180975</xdr:rowOff>
    </xdr:from>
    <xdr:ext cx="1962150" cy="74295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9705975" y="4752975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New/Modified</a:t>
          </a:r>
        </a:p>
      </xdr:txBody>
    </xdr:sp>
    <xdr:clientData/>
  </xdr:oneCellAnchor>
  <xdr:oneCellAnchor>
    <xdr:from>
      <xdr:col>19</xdr:col>
      <xdr:colOff>200025</xdr:colOff>
      <xdr:row>24</xdr:row>
      <xdr:rowOff>133350</xdr:rowOff>
    </xdr:from>
    <xdr:ext cx="1962150" cy="74295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1782425" y="4705350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New/New</a:t>
          </a:r>
        </a:p>
      </xdr:txBody>
    </xdr:sp>
    <xdr:clientData/>
  </xdr:oneCellAnchor>
  <xdr:twoCellAnchor>
    <xdr:from>
      <xdr:col>12</xdr:col>
      <xdr:colOff>192615</xdr:colOff>
      <xdr:row>31</xdr:row>
      <xdr:rowOff>24340</xdr:rowOff>
    </xdr:from>
    <xdr:to>
      <xdr:col>16</xdr:col>
      <xdr:colOff>371475</xdr:colOff>
      <xdr:row>35</xdr:row>
      <xdr:rowOff>66675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7507815" y="5929840"/>
          <a:ext cx="2617260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14</xdr:col>
      <xdr:colOff>352425</xdr:colOff>
      <xdr:row>8</xdr:row>
      <xdr:rowOff>0</xdr:rowOff>
    </xdr:from>
    <xdr:to>
      <xdr:col>16</xdr:col>
      <xdr:colOff>228601</xdr:colOff>
      <xdr:row>11</xdr:row>
      <xdr:rowOff>41148</xdr:rowOff>
    </xdr:to>
    <xdr:sp macro="" textlink="">
      <xdr:nvSpPr>
        <xdr:cNvPr id="35" name="Rounded Rectangular Callout 49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/>
      </xdr:nvSpPr>
      <xdr:spPr>
        <a:xfrm>
          <a:off x="8886825" y="1524000"/>
          <a:ext cx="1095376" cy="612648"/>
        </a:xfrm>
        <a:prstGeom prst="wedgeRoundRectCallout">
          <a:avLst>
            <a:gd name="adj1" fmla="val -94112"/>
            <a:gd name="adj2" fmla="val 233520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rgbClr val="002060"/>
              </a:solidFill>
            </a:rPr>
            <a:t>Click Here</a:t>
          </a:r>
        </a:p>
      </xdr:txBody>
    </xdr:sp>
    <xdr:clientData/>
  </xdr:twoCellAnchor>
  <xdr:twoCellAnchor>
    <xdr:from>
      <xdr:col>2</xdr:col>
      <xdr:colOff>209550</xdr:colOff>
      <xdr:row>27</xdr:row>
      <xdr:rowOff>57150</xdr:rowOff>
    </xdr:from>
    <xdr:to>
      <xdr:col>3</xdr:col>
      <xdr:colOff>342900</xdr:colOff>
      <xdr:row>31</xdr:row>
      <xdr:rowOff>76201</xdr:rowOff>
    </xdr:to>
    <xdr:sp macro="" textlink="">
      <xdr:nvSpPr>
        <xdr:cNvPr id="36" name="Flowchart: Connector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/>
      </xdr:nvSpPr>
      <xdr:spPr>
        <a:xfrm>
          <a:off x="1428750" y="5200650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15</xdr:col>
      <xdr:colOff>514350</xdr:colOff>
      <xdr:row>9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2120900" y="512233"/>
          <a:ext cx="7537450" cy="12784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4. Targeted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Market Segment Modified/Modified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oneCellAnchor>
    <xdr:from>
      <xdr:col>15</xdr:col>
      <xdr:colOff>533400</xdr:colOff>
      <xdr:row>15</xdr:row>
      <xdr:rowOff>171448</xdr:rowOff>
    </xdr:from>
    <xdr:ext cx="1962150" cy="74295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9677400" y="302894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Current/Modified</a:t>
          </a:r>
        </a:p>
      </xdr:txBody>
    </xdr:sp>
    <xdr:clientData/>
  </xdr:oneCellAnchor>
  <xdr:oneCellAnchor>
    <xdr:from>
      <xdr:col>13</xdr:col>
      <xdr:colOff>47625</xdr:colOff>
      <xdr:row>15</xdr:row>
      <xdr:rowOff>171448</xdr:rowOff>
    </xdr:from>
    <xdr:ext cx="1562100" cy="74295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7972425" y="3028948"/>
          <a:ext cx="1562100" cy="742952"/>
        </a:xfrm>
        <a:prstGeom prst="rect">
          <a:avLst/>
        </a:prstGeom>
        <a:solidFill>
          <a:schemeClr val="accent6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oneCellAnchor>
  <xdr:twoCellAnchor>
    <xdr:from>
      <xdr:col>4</xdr:col>
      <xdr:colOff>171450</xdr:colOff>
      <xdr:row>27</xdr:row>
      <xdr:rowOff>57149</xdr:rowOff>
    </xdr:from>
    <xdr:to>
      <xdr:col>5</xdr:col>
      <xdr:colOff>304800</xdr:colOff>
      <xdr:row>31</xdr:row>
      <xdr:rowOff>76200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2609850" y="5200649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180975</xdr:colOff>
      <xdr:row>21</xdr:row>
      <xdr:rowOff>142874</xdr:rowOff>
    </xdr:from>
    <xdr:to>
      <xdr:col>7</xdr:col>
      <xdr:colOff>314325</xdr:colOff>
      <xdr:row>25</xdr:row>
      <xdr:rowOff>161925</xdr:rowOff>
    </xdr:to>
    <xdr:sp macro="" textlink="">
      <xdr:nvSpPr>
        <xdr:cNvPr id="8" name="Flowchart: Connector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3838575" y="4143374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257175</xdr:colOff>
      <xdr:row>21</xdr:row>
      <xdr:rowOff>123825</xdr:rowOff>
    </xdr:from>
    <xdr:to>
      <xdr:col>5</xdr:col>
      <xdr:colOff>390525</xdr:colOff>
      <xdr:row>25</xdr:row>
      <xdr:rowOff>142876</xdr:rowOff>
    </xdr:to>
    <xdr:sp macro="" textlink="">
      <xdr:nvSpPr>
        <xdr:cNvPr id="9" name="Flowchart: Connector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2695575" y="4124325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295275</xdr:colOff>
      <xdr:row>21</xdr:row>
      <xdr:rowOff>114300</xdr:rowOff>
    </xdr:from>
    <xdr:to>
      <xdr:col>3</xdr:col>
      <xdr:colOff>428625</xdr:colOff>
      <xdr:row>25</xdr:row>
      <xdr:rowOff>133351</xdr:rowOff>
    </xdr:to>
    <xdr:sp macro="" textlink="">
      <xdr:nvSpPr>
        <xdr:cNvPr id="10" name="Flowchart: Connector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514475" y="4114800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485775</xdr:colOff>
      <xdr:row>15</xdr:row>
      <xdr:rowOff>85725</xdr:rowOff>
    </xdr:from>
    <xdr:to>
      <xdr:col>3</xdr:col>
      <xdr:colOff>9525</xdr:colOff>
      <xdr:row>19</xdr:row>
      <xdr:rowOff>104776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1095375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285750</xdr:colOff>
      <xdr:row>15</xdr:row>
      <xdr:rowOff>95250</xdr:rowOff>
    </xdr:from>
    <xdr:to>
      <xdr:col>4</xdr:col>
      <xdr:colOff>419100</xdr:colOff>
      <xdr:row>19</xdr:row>
      <xdr:rowOff>114301</xdr:rowOff>
    </xdr:to>
    <xdr:sp macro="" textlink="">
      <xdr:nvSpPr>
        <xdr:cNvPr id="12" name="Flowchart: Connector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21145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76200</xdr:colOff>
      <xdr:row>15</xdr:row>
      <xdr:rowOff>85725</xdr:rowOff>
    </xdr:from>
    <xdr:to>
      <xdr:col>6</xdr:col>
      <xdr:colOff>209550</xdr:colOff>
      <xdr:row>19</xdr:row>
      <xdr:rowOff>104776</xdr:rowOff>
    </xdr:to>
    <xdr:sp macro="" textlink="">
      <xdr:nvSpPr>
        <xdr:cNvPr id="13" name="Flowchart: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3124200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552450</xdr:colOff>
      <xdr:row>15</xdr:row>
      <xdr:rowOff>95250</xdr:rowOff>
    </xdr:from>
    <xdr:to>
      <xdr:col>8</xdr:col>
      <xdr:colOff>76200</xdr:colOff>
      <xdr:row>19</xdr:row>
      <xdr:rowOff>114301</xdr:rowOff>
    </xdr:to>
    <xdr:sp macro="" textlink="">
      <xdr:nvSpPr>
        <xdr:cNvPr id="14" name="Flowchart: Connector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42100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171450</xdr:colOff>
      <xdr:row>27</xdr:row>
      <xdr:rowOff>66675</xdr:rowOff>
    </xdr:from>
    <xdr:to>
      <xdr:col>7</xdr:col>
      <xdr:colOff>304800</xdr:colOff>
      <xdr:row>31</xdr:row>
      <xdr:rowOff>85726</xdr:rowOff>
    </xdr:to>
    <xdr:sp macro="" textlink="">
      <xdr:nvSpPr>
        <xdr:cNvPr id="15" name="Flowchart: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3829050" y="5210175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76200</xdr:colOff>
      <xdr:row>32</xdr:row>
      <xdr:rowOff>76200</xdr:rowOff>
    </xdr:from>
    <xdr:to>
      <xdr:col>5</xdr:col>
      <xdr:colOff>209550</xdr:colOff>
      <xdr:row>36</xdr:row>
      <xdr:rowOff>95251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2514600" y="6172200"/>
          <a:ext cx="742950" cy="781051"/>
        </a:xfrm>
        <a:prstGeom prst="flowChartConnector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361950</xdr:colOff>
      <xdr:row>20</xdr:row>
      <xdr:rowOff>76200</xdr:rowOff>
    </xdr:from>
    <xdr:to>
      <xdr:col>9</xdr:col>
      <xdr:colOff>114300</xdr:colOff>
      <xdr:row>20</xdr:row>
      <xdr:rowOff>104776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>
        <a:xfrm flipV="1">
          <a:off x="361950" y="38862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26</xdr:row>
      <xdr:rowOff>123825</xdr:rowOff>
    </xdr:from>
    <xdr:to>
      <xdr:col>8</xdr:col>
      <xdr:colOff>523875</xdr:colOff>
      <xdr:row>26</xdr:row>
      <xdr:rowOff>142875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CxnSpPr/>
      </xdr:nvCxnSpPr>
      <xdr:spPr>
        <a:xfrm flipV="1">
          <a:off x="352425" y="5076825"/>
          <a:ext cx="50482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32</xdr:row>
      <xdr:rowOff>38100</xdr:rowOff>
    </xdr:from>
    <xdr:to>
      <xdr:col>9</xdr:col>
      <xdr:colOff>47625</xdr:colOff>
      <xdr:row>32</xdr:row>
      <xdr:rowOff>66676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CxnSpPr/>
      </xdr:nvCxnSpPr>
      <xdr:spPr>
        <a:xfrm flipV="1">
          <a:off x="295275" y="61341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383115</xdr:colOff>
      <xdr:row>32</xdr:row>
      <xdr:rowOff>167215</xdr:rowOff>
    </xdr:from>
    <xdr:to>
      <xdr:col>11</xdr:col>
      <xdr:colOff>171450</xdr:colOff>
      <xdr:row>35</xdr:row>
      <xdr:rowOff>95250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5259915" y="626321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11</xdr:col>
      <xdr:colOff>87840</xdr:colOff>
      <xdr:row>58</xdr:row>
      <xdr:rowOff>100540</xdr:rowOff>
    </xdr:from>
    <xdr:to>
      <xdr:col>13</xdr:col>
      <xdr:colOff>485775</xdr:colOff>
      <xdr:row>61</xdr:row>
      <xdr:rowOff>28575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8</xdr:col>
      <xdr:colOff>354540</xdr:colOff>
      <xdr:row>27</xdr:row>
      <xdr:rowOff>110065</xdr:rowOff>
    </xdr:from>
    <xdr:to>
      <xdr:col>11</xdr:col>
      <xdr:colOff>142875</xdr:colOff>
      <xdr:row>30</xdr:row>
      <xdr:rowOff>38100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5231340" y="525356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First Expansion</a:t>
          </a:r>
        </a:p>
      </xdr:txBody>
    </xdr:sp>
    <xdr:clientData/>
  </xdr:twoCellAnchor>
  <xdr:twoCellAnchor>
    <xdr:from>
      <xdr:col>8</xdr:col>
      <xdr:colOff>342900</xdr:colOff>
      <xdr:row>21</xdr:row>
      <xdr:rowOff>104775</xdr:rowOff>
    </xdr:from>
    <xdr:to>
      <xdr:col>11</xdr:col>
      <xdr:colOff>131235</xdr:colOff>
      <xdr:row>24</xdr:row>
      <xdr:rowOff>32810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5219700" y="410527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2nd  Expansion</a:t>
          </a:r>
        </a:p>
      </xdr:txBody>
    </xdr:sp>
    <xdr:clientData/>
  </xdr:twoCellAnchor>
  <xdr:twoCellAnchor>
    <xdr:from>
      <xdr:col>8</xdr:col>
      <xdr:colOff>295275</xdr:colOff>
      <xdr:row>16</xdr:row>
      <xdr:rowOff>38100</xdr:rowOff>
    </xdr:from>
    <xdr:to>
      <xdr:col>11</xdr:col>
      <xdr:colOff>83610</xdr:colOff>
      <xdr:row>18</xdr:row>
      <xdr:rowOff>156635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5172075" y="308610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3rd  Expansion</a:t>
          </a:r>
        </a:p>
      </xdr:txBody>
    </xdr:sp>
    <xdr:clientData/>
  </xdr:twoCellAnchor>
  <xdr:oneCellAnchor>
    <xdr:from>
      <xdr:col>19</xdr:col>
      <xdr:colOff>180975</xdr:colOff>
      <xdr:row>15</xdr:row>
      <xdr:rowOff>161923</xdr:rowOff>
    </xdr:from>
    <xdr:ext cx="1962150" cy="742952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1763375" y="30194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Current/New</a:t>
          </a:r>
        </a:p>
      </xdr:txBody>
    </xdr:sp>
    <xdr:clientData/>
  </xdr:oneCellAnchor>
  <xdr:oneCellAnchor>
    <xdr:from>
      <xdr:col>13</xdr:col>
      <xdr:colOff>28574</xdr:colOff>
      <xdr:row>20</xdr:row>
      <xdr:rowOff>85723</xdr:rowOff>
    </xdr:from>
    <xdr:ext cx="1609725" cy="742952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7953374" y="3895723"/>
          <a:ext cx="1609725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Modified/Current</a:t>
          </a:r>
        </a:p>
      </xdr:txBody>
    </xdr:sp>
    <xdr:clientData/>
  </xdr:oneCellAnchor>
  <xdr:oneCellAnchor>
    <xdr:from>
      <xdr:col>13</xdr:col>
      <xdr:colOff>47624</xdr:colOff>
      <xdr:row>12</xdr:row>
      <xdr:rowOff>104775</xdr:rowOff>
    </xdr:from>
    <xdr:ext cx="5724526" cy="50482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7972424" y="2390775"/>
          <a:ext cx="5724526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Market</a:t>
          </a:r>
        </a:p>
      </xdr:txBody>
    </xdr:sp>
    <xdr:clientData/>
  </xdr:oneCellAnchor>
  <xdr:oneCellAnchor>
    <xdr:from>
      <xdr:col>12</xdr:col>
      <xdr:colOff>57151</xdr:colOff>
      <xdr:row>12</xdr:row>
      <xdr:rowOff>152400</xdr:rowOff>
    </xdr:from>
    <xdr:ext cx="504825" cy="30670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 rot="16200000">
          <a:off x="6091237" y="3719514"/>
          <a:ext cx="3067053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Portfolio</a:t>
          </a:r>
        </a:p>
      </xdr:txBody>
    </xdr:sp>
    <xdr:clientData/>
  </xdr:oneCellAnchor>
  <xdr:oneCellAnchor>
    <xdr:from>
      <xdr:col>13</xdr:col>
      <xdr:colOff>38099</xdr:colOff>
      <xdr:row>25</xdr:row>
      <xdr:rowOff>9525</xdr:rowOff>
    </xdr:from>
    <xdr:ext cx="1609725" cy="74295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7962899" y="4772025"/>
          <a:ext cx="1609725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New/Current</a:t>
          </a:r>
        </a:p>
      </xdr:txBody>
    </xdr:sp>
    <xdr:clientData/>
  </xdr:oneCellAnchor>
  <xdr:oneCellAnchor>
    <xdr:from>
      <xdr:col>15</xdr:col>
      <xdr:colOff>542925</xdr:colOff>
      <xdr:row>20</xdr:row>
      <xdr:rowOff>76198</xdr:rowOff>
    </xdr:from>
    <xdr:ext cx="1962150" cy="74295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9686925" y="388619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Modified/Modified</a:t>
          </a:r>
        </a:p>
      </xdr:txBody>
    </xdr:sp>
    <xdr:clientData/>
  </xdr:oneCellAnchor>
  <xdr:oneCellAnchor>
    <xdr:from>
      <xdr:col>19</xdr:col>
      <xdr:colOff>190500</xdr:colOff>
      <xdr:row>20</xdr:row>
      <xdr:rowOff>47623</xdr:rowOff>
    </xdr:from>
    <xdr:ext cx="1962150" cy="74295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772900" y="38576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Modified/New</a:t>
          </a:r>
        </a:p>
      </xdr:txBody>
    </xdr:sp>
    <xdr:clientData/>
  </xdr:oneCellAnchor>
  <xdr:oneCellAnchor>
    <xdr:from>
      <xdr:col>15</xdr:col>
      <xdr:colOff>561975</xdr:colOff>
      <xdr:row>24</xdr:row>
      <xdr:rowOff>180975</xdr:rowOff>
    </xdr:from>
    <xdr:ext cx="1962150" cy="74295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9705975" y="4752975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New/Modified</a:t>
          </a:r>
        </a:p>
      </xdr:txBody>
    </xdr:sp>
    <xdr:clientData/>
  </xdr:oneCellAnchor>
  <xdr:oneCellAnchor>
    <xdr:from>
      <xdr:col>19</xdr:col>
      <xdr:colOff>200025</xdr:colOff>
      <xdr:row>24</xdr:row>
      <xdr:rowOff>133350</xdr:rowOff>
    </xdr:from>
    <xdr:ext cx="1962150" cy="74295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1782425" y="4705350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New/New</a:t>
          </a:r>
        </a:p>
      </xdr:txBody>
    </xdr:sp>
    <xdr:clientData/>
  </xdr:oneCellAnchor>
  <xdr:twoCellAnchor>
    <xdr:from>
      <xdr:col>12</xdr:col>
      <xdr:colOff>192615</xdr:colOff>
      <xdr:row>31</xdr:row>
      <xdr:rowOff>24340</xdr:rowOff>
    </xdr:from>
    <xdr:to>
      <xdr:col>16</xdr:col>
      <xdr:colOff>371475</xdr:colOff>
      <xdr:row>35</xdr:row>
      <xdr:rowOff>66675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7507815" y="5929840"/>
          <a:ext cx="2617260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14</xdr:col>
      <xdr:colOff>352425</xdr:colOff>
      <xdr:row>8</xdr:row>
      <xdr:rowOff>0</xdr:rowOff>
    </xdr:from>
    <xdr:to>
      <xdr:col>16</xdr:col>
      <xdr:colOff>228601</xdr:colOff>
      <xdr:row>11</xdr:row>
      <xdr:rowOff>41148</xdr:rowOff>
    </xdr:to>
    <xdr:sp macro="" textlink="">
      <xdr:nvSpPr>
        <xdr:cNvPr id="35" name="Rounded Rectangular Callout 49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/>
      </xdr:nvSpPr>
      <xdr:spPr>
        <a:xfrm>
          <a:off x="8886825" y="1524000"/>
          <a:ext cx="1095376" cy="612648"/>
        </a:xfrm>
        <a:prstGeom prst="wedgeRoundRectCallout">
          <a:avLst>
            <a:gd name="adj1" fmla="val -94112"/>
            <a:gd name="adj2" fmla="val 233520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rgbClr val="002060"/>
              </a:solidFill>
            </a:rPr>
            <a:t>Click Here</a:t>
          </a:r>
        </a:p>
      </xdr:txBody>
    </xdr:sp>
    <xdr:clientData/>
  </xdr:twoCellAnchor>
  <xdr:twoCellAnchor>
    <xdr:from>
      <xdr:col>2</xdr:col>
      <xdr:colOff>209550</xdr:colOff>
      <xdr:row>27</xdr:row>
      <xdr:rowOff>57150</xdr:rowOff>
    </xdr:from>
    <xdr:to>
      <xdr:col>3</xdr:col>
      <xdr:colOff>342900</xdr:colOff>
      <xdr:row>31</xdr:row>
      <xdr:rowOff>76201</xdr:rowOff>
    </xdr:to>
    <xdr:sp macro="" textlink="">
      <xdr:nvSpPr>
        <xdr:cNvPr id="36" name="Flowchart: Connector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/>
      </xdr:nvSpPr>
      <xdr:spPr>
        <a:xfrm>
          <a:off x="1428750" y="5200650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15</xdr:col>
      <xdr:colOff>514350</xdr:colOff>
      <xdr:row>6</xdr:row>
      <xdr:rowOff>35984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2120900" y="512233"/>
          <a:ext cx="753745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4. Targeted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Market Segments Current/Current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oneCellAnchor>
    <xdr:from>
      <xdr:col>15</xdr:col>
      <xdr:colOff>533400</xdr:colOff>
      <xdr:row>15</xdr:row>
      <xdr:rowOff>171448</xdr:rowOff>
    </xdr:from>
    <xdr:ext cx="1962150" cy="74295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9677400" y="302894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Current/Modified</a:t>
          </a:r>
        </a:p>
      </xdr:txBody>
    </xdr:sp>
    <xdr:clientData/>
  </xdr:oneCellAnchor>
  <xdr:oneCellAnchor>
    <xdr:from>
      <xdr:col>13</xdr:col>
      <xdr:colOff>47625</xdr:colOff>
      <xdr:row>15</xdr:row>
      <xdr:rowOff>171448</xdr:rowOff>
    </xdr:from>
    <xdr:ext cx="1562100" cy="74295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7972425" y="3028948"/>
          <a:ext cx="1562100" cy="742952"/>
        </a:xfrm>
        <a:prstGeom prst="rect">
          <a:avLst/>
        </a:prstGeom>
        <a:solidFill>
          <a:schemeClr val="accent6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oneCellAnchor>
  <xdr:twoCellAnchor>
    <xdr:from>
      <xdr:col>4</xdr:col>
      <xdr:colOff>171450</xdr:colOff>
      <xdr:row>27</xdr:row>
      <xdr:rowOff>57149</xdr:rowOff>
    </xdr:from>
    <xdr:to>
      <xdr:col>5</xdr:col>
      <xdr:colOff>304800</xdr:colOff>
      <xdr:row>31</xdr:row>
      <xdr:rowOff>76200</xdr:rowOff>
    </xdr:to>
    <xdr:sp macro="" textlink="">
      <xdr:nvSpPr>
        <xdr:cNvPr id="7" name="Flowchart: Connector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2609850" y="5200649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180975</xdr:colOff>
      <xdr:row>21</xdr:row>
      <xdr:rowOff>142874</xdr:rowOff>
    </xdr:from>
    <xdr:to>
      <xdr:col>7</xdr:col>
      <xdr:colOff>314325</xdr:colOff>
      <xdr:row>25</xdr:row>
      <xdr:rowOff>161925</xdr:rowOff>
    </xdr:to>
    <xdr:sp macro="" textlink="">
      <xdr:nvSpPr>
        <xdr:cNvPr id="8" name="Flowchart: Connector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3838575" y="4143374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257175</xdr:colOff>
      <xdr:row>21</xdr:row>
      <xdr:rowOff>123825</xdr:rowOff>
    </xdr:from>
    <xdr:to>
      <xdr:col>5</xdr:col>
      <xdr:colOff>390525</xdr:colOff>
      <xdr:row>25</xdr:row>
      <xdr:rowOff>142876</xdr:rowOff>
    </xdr:to>
    <xdr:sp macro="" textlink="">
      <xdr:nvSpPr>
        <xdr:cNvPr id="9" name="Flowchart: Connector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2695575" y="4124325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295275</xdr:colOff>
      <xdr:row>21</xdr:row>
      <xdr:rowOff>114300</xdr:rowOff>
    </xdr:from>
    <xdr:to>
      <xdr:col>3</xdr:col>
      <xdr:colOff>428625</xdr:colOff>
      <xdr:row>25</xdr:row>
      <xdr:rowOff>133351</xdr:rowOff>
    </xdr:to>
    <xdr:sp macro="" textlink="">
      <xdr:nvSpPr>
        <xdr:cNvPr id="10" name="Flowchart: Connector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1514475" y="4114800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485775</xdr:colOff>
      <xdr:row>15</xdr:row>
      <xdr:rowOff>85725</xdr:rowOff>
    </xdr:from>
    <xdr:to>
      <xdr:col>3</xdr:col>
      <xdr:colOff>9525</xdr:colOff>
      <xdr:row>19</xdr:row>
      <xdr:rowOff>104776</xdr:rowOff>
    </xdr:to>
    <xdr:sp macro="" textlink="">
      <xdr:nvSpPr>
        <xdr:cNvPr id="11" name="Flowchart: Connector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1095375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285750</xdr:colOff>
      <xdr:row>15</xdr:row>
      <xdr:rowOff>95250</xdr:rowOff>
    </xdr:from>
    <xdr:to>
      <xdr:col>4</xdr:col>
      <xdr:colOff>419100</xdr:colOff>
      <xdr:row>19</xdr:row>
      <xdr:rowOff>114301</xdr:rowOff>
    </xdr:to>
    <xdr:sp macro="" textlink="">
      <xdr:nvSpPr>
        <xdr:cNvPr id="12" name="Flowchart: Connector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21145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76200</xdr:colOff>
      <xdr:row>15</xdr:row>
      <xdr:rowOff>85725</xdr:rowOff>
    </xdr:from>
    <xdr:to>
      <xdr:col>6</xdr:col>
      <xdr:colOff>209550</xdr:colOff>
      <xdr:row>19</xdr:row>
      <xdr:rowOff>104776</xdr:rowOff>
    </xdr:to>
    <xdr:sp macro="" textlink="">
      <xdr:nvSpPr>
        <xdr:cNvPr id="13" name="Flowchart: Connector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3124200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552450</xdr:colOff>
      <xdr:row>15</xdr:row>
      <xdr:rowOff>95250</xdr:rowOff>
    </xdr:from>
    <xdr:to>
      <xdr:col>8</xdr:col>
      <xdr:colOff>76200</xdr:colOff>
      <xdr:row>19</xdr:row>
      <xdr:rowOff>114301</xdr:rowOff>
    </xdr:to>
    <xdr:sp macro="" textlink="">
      <xdr:nvSpPr>
        <xdr:cNvPr id="14" name="Flowchart: Connector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42100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171450</xdr:colOff>
      <xdr:row>27</xdr:row>
      <xdr:rowOff>66675</xdr:rowOff>
    </xdr:from>
    <xdr:to>
      <xdr:col>7</xdr:col>
      <xdr:colOff>304800</xdr:colOff>
      <xdr:row>31</xdr:row>
      <xdr:rowOff>85726</xdr:rowOff>
    </xdr:to>
    <xdr:sp macro="" textlink="">
      <xdr:nvSpPr>
        <xdr:cNvPr id="15" name="Flowchart: Connector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3829050" y="5210175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76200</xdr:colOff>
      <xdr:row>32</xdr:row>
      <xdr:rowOff>76200</xdr:rowOff>
    </xdr:from>
    <xdr:to>
      <xdr:col>5</xdr:col>
      <xdr:colOff>209550</xdr:colOff>
      <xdr:row>36</xdr:row>
      <xdr:rowOff>95251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/>
      </xdr:nvSpPr>
      <xdr:spPr>
        <a:xfrm>
          <a:off x="2514600" y="6172200"/>
          <a:ext cx="742950" cy="781051"/>
        </a:xfrm>
        <a:prstGeom prst="flowChartConnector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361950</xdr:colOff>
      <xdr:row>20</xdr:row>
      <xdr:rowOff>76200</xdr:rowOff>
    </xdr:from>
    <xdr:to>
      <xdr:col>9</xdr:col>
      <xdr:colOff>114300</xdr:colOff>
      <xdr:row>20</xdr:row>
      <xdr:rowOff>104776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CxnSpPr/>
      </xdr:nvCxnSpPr>
      <xdr:spPr>
        <a:xfrm flipV="1">
          <a:off x="361950" y="38862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352425</xdr:colOff>
      <xdr:row>26</xdr:row>
      <xdr:rowOff>123825</xdr:rowOff>
    </xdr:from>
    <xdr:to>
      <xdr:col>8</xdr:col>
      <xdr:colOff>523875</xdr:colOff>
      <xdr:row>26</xdr:row>
      <xdr:rowOff>142875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CxnSpPr/>
      </xdr:nvCxnSpPr>
      <xdr:spPr>
        <a:xfrm flipV="1">
          <a:off x="352425" y="5076825"/>
          <a:ext cx="50482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32</xdr:row>
      <xdr:rowOff>38100</xdr:rowOff>
    </xdr:from>
    <xdr:to>
      <xdr:col>9</xdr:col>
      <xdr:colOff>47625</xdr:colOff>
      <xdr:row>32</xdr:row>
      <xdr:rowOff>66676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CxnSpPr/>
      </xdr:nvCxnSpPr>
      <xdr:spPr>
        <a:xfrm flipV="1">
          <a:off x="295275" y="6134100"/>
          <a:ext cx="5238750" cy="285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383115</xdr:colOff>
      <xdr:row>32</xdr:row>
      <xdr:rowOff>167215</xdr:rowOff>
    </xdr:from>
    <xdr:to>
      <xdr:col>11</xdr:col>
      <xdr:colOff>171450</xdr:colOff>
      <xdr:row>35</xdr:row>
      <xdr:rowOff>95250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5259915" y="626321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11</xdr:col>
      <xdr:colOff>87840</xdr:colOff>
      <xdr:row>58</xdr:row>
      <xdr:rowOff>100540</xdr:rowOff>
    </xdr:from>
    <xdr:to>
      <xdr:col>13</xdr:col>
      <xdr:colOff>485775</xdr:colOff>
      <xdr:row>61</xdr:row>
      <xdr:rowOff>28575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8</xdr:col>
      <xdr:colOff>354540</xdr:colOff>
      <xdr:row>27</xdr:row>
      <xdr:rowOff>110065</xdr:rowOff>
    </xdr:from>
    <xdr:to>
      <xdr:col>11</xdr:col>
      <xdr:colOff>142875</xdr:colOff>
      <xdr:row>30</xdr:row>
      <xdr:rowOff>38100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 txBox="1"/>
      </xdr:nvSpPr>
      <xdr:spPr>
        <a:xfrm>
          <a:off x="5231340" y="525356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First Expansion</a:t>
          </a:r>
        </a:p>
      </xdr:txBody>
    </xdr:sp>
    <xdr:clientData/>
  </xdr:twoCellAnchor>
  <xdr:twoCellAnchor>
    <xdr:from>
      <xdr:col>8</xdr:col>
      <xdr:colOff>342900</xdr:colOff>
      <xdr:row>21</xdr:row>
      <xdr:rowOff>104775</xdr:rowOff>
    </xdr:from>
    <xdr:to>
      <xdr:col>11</xdr:col>
      <xdr:colOff>131235</xdr:colOff>
      <xdr:row>24</xdr:row>
      <xdr:rowOff>32810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5219700" y="4105275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2nd  Expansion</a:t>
          </a:r>
        </a:p>
      </xdr:txBody>
    </xdr:sp>
    <xdr:clientData/>
  </xdr:twoCellAnchor>
  <xdr:twoCellAnchor>
    <xdr:from>
      <xdr:col>8</xdr:col>
      <xdr:colOff>295275</xdr:colOff>
      <xdr:row>16</xdr:row>
      <xdr:rowOff>38100</xdr:rowOff>
    </xdr:from>
    <xdr:to>
      <xdr:col>11</xdr:col>
      <xdr:colOff>83610</xdr:colOff>
      <xdr:row>18</xdr:row>
      <xdr:rowOff>156635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5172075" y="308610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3rd  Expansion</a:t>
          </a:r>
        </a:p>
      </xdr:txBody>
    </xdr:sp>
    <xdr:clientData/>
  </xdr:twoCellAnchor>
  <xdr:oneCellAnchor>
    <xdr:from>
      <xdr:col>19</xdr:col>
      <xdr:colOff>180975</xdr:colOff>
      <xdr:row>15</xdr:row>
      <xdr:rowOff>161923</xdr:rowOff>
    </xdr:from>
    <xdr:ext cx="1962150" cy="742952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763375" y="30194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Current/New</a:t>
          </a:r>
        </a:p>
      </xdr:txBody>
    </xdr:sp>
    <xdr:clientData/>
  </xdr:oneCellAnchor>
  <xdr:oneCellAnchor>
    <xdr:from>
      <xdr:col>13</xdr:col>
      <xdr:colOff>28574</xdr:colOff>
      <xdr:row>20</xdr:row>
      <xdr:rowOff>85723</xdr:rowOff>
    </xdr:from>
    <xdr:ext cx="1609725" cy="742952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7953374" y="3895723"/>
          <a:ext cx="1609725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Modified/Current</a:t>
          </a:r>
        </a:p>
      </xdr:txBody>
    </xdr:sp>
    <xdr:clientData/>
  </xdr:oneCellAnchor>
  <xdr:oneCellAnchor>
    <xdr:from>
      <xdr:col>13</xdr:col>
      <xdr:colOff>47624</xdr:colOff>
      <xdr:row>12</xdr:row>
      <xdr:rowOff>104775</xdr:rowOff>
    </xdr:from>
    <xdr:ext cx="5724526" cy="50482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 txBox="1"/>
      </xdr:nvSpPr>
      <xdr:spPr>
        <a:xfrm>
          <a:off x="7972424" y="2390775"/>
          <a:ext cx="5724526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Market</a:t>
          </a:r>
        </a:p>
      </xdr:txBody>
    </xdr:sp>
    <xdr:clientData/>
  </xdr:oneCellAnchor>
  <xdr:oneCellAnchor>
    <xdr:from>
      <xdr:col>12</xdr:col>
      <xdr:colOff>57151</xdr:colOff>
      <xdr:row>12</xdr:row>
      <xdr:rowOff>152400</xdr:rowOff>
    </xdr:from>
    <xdr:ext cx="504825" cy="30670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 txBox="1"/>
      </xdr:nvSpPr>
      <xdr:spPr>
        <a:xfrm rot="16200000">
          <a:off x="6091237" y="3719514"/>
          <a:ext cx="3067053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Portfolio</a:t>
          </a:r>
        </a:p>
      </xdr:txBody>
    </xdr:sp>
    <xdr:clientData/>
  </xdr:oneCellAnchor>
  <xdr:oneCellAnchor>
    <xdr:from>
      <xdr:col>13</xdr:col>
      <xdr:colOff>38099</xdr:colOff>
      <xdr:row>25</xdr:row>
      <xdr:rowOff>9525</xdr:rowOff>
    </xdr:from>
    <xdr:ext cx="1609725" cy="74295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 txBox="1"/>
      </xdr:nvSpPr>
      <xdr:spPr>
        <a:xfrm>
          <a:off x="7962899" y="4772025"/>
          <a:ext cx="1609725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New/Current</a:t>
          </a:r>
        </a:p>
      </xdr:txBody>
    </xdr:sp>
    <xdr:clientData/>
  </xdr:oneCellAnchor>
  <xdr:oneCellAnchor>
    <xdr:from>
      <xdr:col>15</xdr:col>
      <xdr:colOff>542925</xdr:colOff>
      <xdr:row>20</xdr:row>
      <xdr:rowOff>76198</xdr:rowOff>
    </xdr:from>
    <xdr:ext cx="1962150" cy="74295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 txBox="1"/>
      </xdr:nvSpPr>
      <xdr:spPr>
        <a:xfrm>
          <a:off x="9686925" y="388619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Modified/Modified</a:t>
          </a:r>
        </a:p>
      </xdr:txBody>
    </xdr:sp>
    <xdr:clientData/>
  </xdr:oneCellAnchor>
  <xdr:oneCellAnchor>
    <xdr:from>
      <xdr:col>19</xdr:col>
      <xdr:colOff>190500</xdr:colOff>
      <xdr:row>20</xdr:row>
      <xdr:rowOff>47623</xdr:rowOff>
    </xdr:from>
    <xdr:ext cx="1962150" cy="74295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 txBox="1"/>
      </xdr:nvSpPr>
      <xdr:spPr>
        <a:xfrm>
          <a:off x="11772900" y="3857623"/>
          <a:ext cx="1962150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Modified/New</a:t>
          </a:r>
        </a:p>
      </xdr:txBody>
    </xdr:sp>
    <xdr:clientData/>
  </xdr:oneCellAnchor>
  <xdr:oneCellAnchor>
    <xdr:from>
      <xdr:col>15</xdr:col>
      <xdr:colOff>561975</xdr:colOff>
      <xdr:row>24</xdr:row>
      <xdr:rowOff>180975</xdr:rowOff>
    </xdr:from>
    <xdr:ext cx="1962150" cy="74295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 txBox="1"/>
      </xdr:nvSpPr>
      <xdr:spPr>
        <a:xfrm>
          <a:off x="9705975" y="4752975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New/Modified</a:t>
          </a:r>
        </a:p>
      </xdr:txBody>
    </xdr:sp>
    <xdr:clientData/>
  </xdr:oneCellAnchor>
  <xdr:oneCellAnchor>
    <xdr:from>
      <xdr:col>19</xdr:col>
      <xdr:colOff>200025</xdr:colOff>
      <xdr:row>24</xdr:row>
      <xdr:rowOff>133350</xdr:rowOff>
    </xdr:from>
    <xdr:ext cx="1962150" cy="74295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 txBox="1"/>
      </xdr:nvSpPr>
      <xdr:spPr>
        <a:xfrm>
          <a:off x="11782425" y="4705350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New/New</a:t>
          </a:r>
        </a:p>
      </xdr:txBody>
    </xdr:sp>
    <xdr:clientData/>
  </xdr:oneCellAnchor>
  <xdr:twoCellAnchor>
    <xdr:from>
      <xdr:col>12</xdr:col>
      <xdr:colOff>192615</xdr:colOff>
      <xdr:row>31</xdr:row>
      <xdr:rowOff>24340</xdr:rowOff>
    </xdr:from>
    <xdr:to>
      <xdr:col>16</xdr:col>
      <xdr:colOff>371475</xdr:colOff>
      <xdr:row>35</xdr:row>
      <xdr:rowOff>66675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 txBox="1"/>
      </xdr:nvSpPr>
      <xdr:spPr>
        <a:xfrm>
          <a:off x="7507815" y="5929840"/>
          <a:ext cx="2617260" cy="8043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14</xdr:col>
      <xdr:colOff>352425</xdr:colOff>
      <xdr:row>8</xdr:row>
      <xdr:rowOff>0</xdr:rowOff>
    </xdr:from>
    <xdr:to>
      <xdr:col>16</xdr:col>
      <xdr:colOff>228601</xdr:colOff>
      <xdr:row>11</xdr:row>
      <xdr:rowOff>41148</xdr:rowOff>
    </xdr:to>
    <xdr:sp macro="" textlink="">
      <xdr:nvSpPr>
        <xdr:cNvPr id="35" name="Rounded Rectangular Callout 49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SpPr/>
      </xdr:nvSpPr>
      <xdr:spPr>
        <a:xfrm>
          <a:off x="8886825" y="1524000"/>
          <a:ext cx="1095376" cy="612648"/>
        </a:xfrm>
        <a:prstGeom prst="wedgeRoundRectCallout">
          <a:avLst>
            <a:gd name="adj1" fmla="val -94112"/>
            <a:gd name="adj2" fmla="val 233520"/>
            <a:gd name="adj3" fmla="val 16667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solidFill>
                <a:srgbClr val="002060"/>
              </a:solidFill>
            </a:rPr>
            <a:t>Click Here</a:t>
          </a:r>
        </a:p>
      </xdr:txBody>
    </xdr:sp>
    <xdr:clientData/>
  </xdr:twoCellAnchor>
  <xdr:twoCellAnchor>
    <xdr:from>
      <xdr:col>2</xdr:col>
      <xdr:colOff>209550</xdr:colOff>
      <xdr:row>27</xdr:row>
      <xdr:rowOff>57150</xdr:rowOff>
    </xdr:from>
    <xdr:to>
      <xdr:col>3</xdr:col>
      <xdr:colOff>342900</xdr:colOff>
      <xdr:row>31</xdr:row>
      <xdr:rowOff>76201</xdr:rowOff>
    </xdr:to>
    <xdr:sp macro="" textlink="">
      <xdr:nvSpPr>
        <xdr:cNvPr id="36" name="Flowchart: Connector 35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/>
      </xdr:nvSpPr>
      <xdr:spPr>
        <a:xfrm>
          <a:off x="1428750" y="5200650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530225</xdr:colOff>
      <xdr:row>2</xdr:row>
      <xdr:rowOff>64558</xdr:rowOff>
    </xdr:from>
    <xdr:to>
      <xdr:col>16</xdr:col>
      <xdr:colOff>142875</xdr:colOff>
      <xdr:row>5</xdr:row>
      <xdr:rowOff>159809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2359025" y="445558"/>
          <a:ext cx="753745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Risks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Considerations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147108</xdr:colOff>
      <xdr:row>33</xdr:row>
      <xdr:rowOff>29633</xdr:rowOff>
    </xdr:from>
    <xdr:to>
      <xdr:col>3</xdr:col>
      <xdr:colOff>162983</xdr:colOff>
      <xdr:row>38</xdr:row>
      <xdr:rowOff>167216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oneCellAnchor>
    <xdr:from>
      <xdr:col>10</xdr:col>
      <xdr:colOff>533400</xdr:colOff>
      <xdr:row>10</xdr:row>
      <xdr:rowOff>171448</xdr:rowOff>
    </xdr:from>
    <xdr:ext cx="1962150" cy="742952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9677400" y="3028948"/>
          <a:ext cx="1962150" cy="742952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Current/Modified</a:t>
          </a:r>
        </a:p>
      </xdr:txBody>
    </xdr:sp>
    <xdr:clientData/>
  </xdr:oneCellAnchor>
  <xdr:oneCellAnchor>
    <xdr:from>
      <xdr:col>8</xdr:col>
      <xdr:colOff>47625</xdr:colOff>
      <xdr:row>10</xdr:row>
      <xdr:rowOff>171448</xdr:rowOff>
    </xdr:from>
    <xdr:ext cx="1562100" cy="74295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7972425" y="3028948"/>
          <a:ext cx="1562100" cy="742952"/>
        </a:xfrm>
        <a:prstGeom prst="rect">
          <a:avLst/>
        </a:prstGeom>
        <a:solidFill>
          <a:schemeClr val="accent6">
            <a:lumMod val="5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oneCellAnchor>
  <xdr:twoCellAnchor>
    <xdr:from>
      <xdr:col>6</xdr:col>
      <xdr:colOff>87840</xdr:colOff>
      <xdr:row>53</xdr:row>
      <xdr:rowOff>100540</xdr:rowOff>
    </xdr:from>
    <xdr:to>
      <xdr:col>8</xdr:col>
      <xdr:colOff>485775</xdr:colOff>
      <xdr:row>56</xdr:row>
      <xdr:rowOff>28575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oneCellAnchor>
    <xdr:from>
      <xdr:col>14</xdr:col>
      <xdr:colOff>180975</xdr:colOff>
      <xdr:row>10</xdr:row>
      <xdr:rowOff>161923</xdr:rowOff>
    </xdr:from>
    <xdr:ext cx="1962150" cy="742952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763375" y="3019423"/>
          <a:ext cx="1962150" cy="74295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Current/New</a:t>
          </a:r>
        </a:p>
      </xdr:txBody>
    </xdr:sp>
    <xdr:clientData/>
  </xdr:oneCellAnchor>
  <xdr:oneCellAnchor>
    <xdr:from>
      <xdr:col>8</xdr:col>
      <xdr:colOff>28574</xdr:colOff>
      <xdr:row>15</xdr:row>
      <xdr:rowOff>85723</xdr:rowOff>
    </xdr:from>
    <xdr:ext cx="1609725" cy="742952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7953374" y="3895723"/>
          <a:ext cx="1609725" cy="742952"/>
        </a:xfrm>
        <a:prstGeom prst="rect">
          <a:avLst/>
        </a:prstGeom>
        <a:solidFill>
          <a:srgbClr val="00B05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Modified/Current</a:t>
          </a:r>
        </a:p>
      </xdr:txBody>
    </xdr:sp>
    <xdr:clientData/>
  </xdr:oneCellAnchor>
  <xdr:oneCellAnchor>
    <xdr:from>
      <xdr:col>8</xdr:col>
      <xdr:colOff>47624</xdr:colOff>
      <xdr:row>7</xdr:row>
      <xdr:rowOff>104775</xdr:rowOff>
    </xdr:from>
    <xdr:ext cx="5724526" cy="50482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7972424" y="2390775"/>
          <a:ext cx="5724526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Market</a:t>
          </a:r>
        </a:p>
      </xdr:txBody>
    </xdr:sp>
    <xdr:clientData/>
  </xdr:oneCellAnchor>
  <xdr:oneCellAnchor>
    <xdr:from>
      <xdr:col>7</xdr:col>
      <xdr:colOff>57151</xdr:colOff>
      <xdr:row>7</xdr:row>
      <xdr:rowOff>152400</xdr:rowOff>
    </xdr:from>
    <xdr:ext cx="504825" cy="30670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 rot="16200000">
          <a:off x="6091237" y="3719514"/>
          <a:ext cx="3067053" cy="50482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000">
              <a:latin typeface="Lucida Bright" panose="02040602050505020304" pitchFamily="18" charset="0"/>
            </a:rPr>
            <a:t>Portfolio</a:t>
          </a:r>
        </a:p>
      </xdr:txBody>
    </xdr:sp>
    <xdr:clientData/>
  </xdr:oneCellAnchor>
  <xdr:oneCellAnchor>
    <xdr:from>
      <xdr:col>8</xdr:col>
      <xdr:colOff>38099</xdr:colOff>
      <xdr:row>20</xdr:row>
      <xdr:rowOff>9525</xdr:rowOff>
    </xdr:from>
    <xdr:ext cx="1609725" cy="742952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7962899" y="4772025"/>
          <a:ext cx="1609725" cy="74295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New/Current</a:t>
          </a:r>
        </a:p>
      </xdr:txBody>
    </xdr:sp>
    <xdr:clientData/>
  </xdr:oneCellAnchor>
  <xdr:oneCellAnchor>
    <xdr:from>
      <xdr:col>10</xdr:col>
      <xdr:colOff>542925</xdr:colOff>
      <xdr:row>15</xdr:row>
      <xdr:rowOff>76198</xdr:rowOff>
    </xdr:from>
    <xdr:ext cx="1962150" cy="742952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9686925" y="3886198"/>
          <a:ext cx="1962150" cy="742952"/>
        </a:xfrm>
        <a:prstGeom prst="rect">
          <a:avLst/>
        </a:prstGeom>
        <a:solidFill>
          <a:srgbClr val="0070C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bg1"/>
              </a:solidFill>
              <a:latin typeface="Lucida Bright" panose="02040602050505020304" pitchFamily="18" charset="0"/>
            </a:rPr>
            <a:t>Modified/Modified</a:t>
          </a:r>
        </a:p>
      </xdr:txBody>
    </xdr:sp>
    <xdr:clientData/>
  </xdr:oneCellAnchor>
  <xdr:oneCellAnchor>
    <xdr:from>
      <xdr:col>14</xdr:col>
      <xdr:colOff>190500</xdr:colOff>
      <xdr:row>15</xdr:row>
      <xdr:rowOff>47623</xdr:rowOff>
    </xdr:from>
    <xdr:ext cx="1962150" cy="742952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772900" y="3857623"/>
          <a:ext cx="1962150" cy="74295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Modified/New</a:t>
          </a:r>
        </a:p>
      </xdr:txBody>
    </xdr:sp>
    <xdr:clientData/>
  </xdr:oneCellAnchor>
  <xdr:oneCellAnchor>
    <xdr:from>
      <xdr:col>10</xdr:col>
      <xdr:colOff>561975</xdr:colOff>
      <xdr:row>19</xdr:row>
      <xdr:rowOff>180975</xdr:rowOff>
    </xdr:from>
    <xdr:ext cx="1962150" cy="742952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9705975" y="4752975"/>
          <a:ext cx="1962150" cy="74295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latin typeface="Lucida Bright" panose="02040602050505020304" pitchFamily="18" charset="0"/>
            </a:rPr>
            <a:t>New/Modified</a:t>
          </a:r>
        </a:p>
      </xdr:txBody>
    </xdr:sp>
    <xdr:clientData/>
  </xdr:oneCellAnchor>
  <xdr:oneCellAnchor>
    <xdr:from>
      <xdr:col>14</xdr:col>
      <xdr:colOff>200025</xdr:colOff>
      <xdr:row>19</xdr:row>
      <xdr:rowOff>133350</xdr:rowOff>
    </xdr:from>
    <xdr:ext cx="1962150" cy="742952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782425" y="4705350"/>
          <a:ext cx="1962150" cy="74295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chemeClr val="tx1"/>
              </a:solidFill>
              <a:latin typeface="Lucida Bright" panose="02040602050505020304" pitchFamily="18" charset="0"/>
            </a:rPr>
            <a:t>New/New</a:t>
          </a:r>
        </a:p>
      </xdr:txBody>
    </xdr:sp>
    <xdr:clientData/>
  </xdr:oneCellAnchor>
  <xdr:twoCellAnchor>
    <xdr:from>
      <xdr:col>10</xdr:col>
      <xdr:colOff>133350</xdr:colOff>
      <xdr:row>13</xdr:row>
      <xdr:rowOff>171450</xdr:rowOff>
    </xdr:from>
    <xdr:to>
      <xdr:col>11</xdr:col>
      <xdr:colOff>390525</xdr:colOff>
      <xdr:row>16</xdr:row>
      <xdr:rowOff>85725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CxnSpPr/>
      </xdr:nvCxnSpPr>
      <xdr:spPr>
        <a:xfrm>
          <a:off x="6229350" y="2647950"/>
          <a:ext cx="866775" cy="485775"/>
        </a:xfrm>
        <a:prstGeom prst="straightConnector1">
          <a:avLst/>
        </a:prstGeom>
        <a:ln w="41275">
          <a:solidFill>
            <a:srgbClr val="C0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3</xdr:col>
      <xdr:colOff>304800</xdr:colOff>
      <xdr:row>8</xdr:row>
      <xdr:rowOff>95248</xdr:rowOff>
    </xdr:from>
    <xdr:ext cx="1933575" cy="1085852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2133600" y="1619248"/>
          <a:ext cx="1933575" cy="108585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1200">
              <a:solidFill>
                <a:srgbClr val="002060"/>
              </a:solidFill>
              <a:latin typeface="Lucida Bright" panose="02040602050505020304" pitchFamily="18" charset="0"/>
            </a:rPr>
            <a:t>Increased Risk</a:t>
          </a:r>
        </a:p>
        <a:p>
          <a:pPr algn="ctr"/>
          <a:r>
            <a:rPr lang="en-US" sz="1200">
              <a:solidFill>
                <a:srgbClr val="002060"/>
              </a:solidFill>
              <a:latin typeface="Lucida Bright" panose="02040602050505020304" pitchFamily="18" charset="0"/>
            </a:rPr>
            <a:t>Require Separate Business Cases for Each Scenario</a:t>
          </a:r>
        </a:p>
      </xdr:txBody>
    </xdr:sp>
    <xdr:clientData/>
  </xdr:oneCellAnchor>
  <xdr:twoCellAnchor>
    <xdr:from>
      <xdr:col>10</xdr:col>
      <xdr:colOff>123825</xdr:colOff>
      <xdr:row>13</xdr:row>
      <xdr:rowOff>142875</xdr:rowOff>
    </xdr:from>
    <xdr:to>
      <xdr:col>11</xdr:col>
      <xdr:colOff>409575</xdr:colOff>
      <xdr:row>13</xdr:row>
      <xdr:rowOff>152400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CxnSpPr/>
      </xdr:nvCxnSpPr>
      <xdr:spPr>
        <a:xfrm flipV="1">
          <a:off x="6219825" y="2619375"/>
          <a:ext cx="895350" cy="9525"/>
        </a:xfrm>
        <a:prstGeom prst="straightConnector1">
          <a:avLst/>
        </a:prstGeom>
        <a:ln w="41275">
          <a:solidFill>
            <a:srgbClr val="C0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123825</xdr:colOff>
      <xdr:row>13</xdr:row>
      <xdr:rowOff>180975</xdr:rowOff>
    </xdr:from>
    <xdr:to>
      <xdr:col>10</xdr:col>
      <xdr:colOff>142875</xdr:colOff>
      <xdr:row>16</xdr:row>
      <xdr:rowOff>152400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CxnSpPr/>
      </xdr:nvCxnSpPr>
      <xdr:spPr>
        <a:xfrm>
          <a:off x="6219825" y="2657475"/>
          <a:ext cx="19050" cy="542925"/>
        </a:xfrm>
        <a:prstGeom prst="straightConnector1">
          <a:avLst/>
        </a:prstGeom>
        <a:ln w="41275">
          <a:solidFill>
            <a:srgbClr val="C00000"/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9523</xdr:rowOff>
    </xdr:from>
    <xdr:to>
      <xdr:col>2</xdr:col>
      <xdr:colOff>456141</xdr:colOff>
      <xdr:row>6</xdr:row>
      <xdr:rowOff>0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619125" y="39052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4</xdr:col>
      <xdr:colOff>92075</xdr:colOff>
      <xdr:row>1</xdr:row>
      <xdr:rowOff>55033</xdr:rowOff>
    </xdr:from>
    <xdr:to>
      <xdr:col>16</xdr:col>
      <xdr:colOff>314325</xdr:colOff>
      <xdr:row>4</xdr:row>
      <xdr:rowOff>123825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/>
      </xdr:nvSpPr>
      <xdr:spPr>
        <a:xfrm>
          <a:off x="3140075" y="245533"/>
          <a:ext cx="7537450" cy="6402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3. Business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Development Strategy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4</xdr:col>
      <xdr:colOff>147108</xdr:colOff>
      <xdr:row>34</xdr:row>
      <xdr:rowOff>29633</xdr:rowOff>
    </xdr:from>
    <xdr:to>
      <xdr:col>7</xdr:col>
      <xdr:colOff>162983</xdr:colOff>
      <xdr:row>39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171450</xdr:colOff>
      <xdr:row>23</xdr:row>
      <xdr:rowOff>57149</xdr:rowOff>
    </xdr:from>
    <xdr:to>
      <xdr:col>9</xdr:col>
      <xdr:colOff>304800</xdr:colOff>
      <xdr:row>27</xdr:row>
      <xdr:rowOff>76200</xdr:rowOff>
    </xdr:to>
    <xdr:sp macro="" textlink="">
      <xdr:nvSpPr>
        <xdr:cNvPr id="14" name="Flowchart: Connector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>
        <a:xfrm>
          <a:off x="2609850" y="5200649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180975</xdr:colOff>
      <xdr:row>17</xdr:row>
      <xdr:rowOff>142874</xdr:rowOff>
    </xdr:from>
    <xdr:to>
      <xdr:col>11</xdr:col>
      <xdr:colOff>314325</xdr:colOff>
      <xdr:row>21</xdr:row>
      <xdr:rowOff>161925</xdr:rowOff>
    </xdr:to>
    <xdr:sp macro="" textlink="">
      <xdr:nvSpPr>
        <xdr:cNvPr id="15" name="Flowchart: Connector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3838575" y="4143374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257175</xdr:colOff>
      <xdr:row>17</xdr:row>
      <xdr:rowOff>123825</xdr:rowOff>
    </xdr:from>
    <xdr:to>
      <xdr:col>9</xdr:col>
      <xdr:colOff>390525</xdr:colOff>
      <xdr:row>21</xdr:row>
      <xdr:rowOff>142876</xdr:rowOff>
    </xdr:to>
    <xdr:sp macro="" textlink="">
      <xdr:nvSpPr>
        <xdr:cNvPr id="16" name="Flowchart: Connector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/>
      </xdr:nvSpPr>
      <xdr:spPr>
        <a:xfrm>
          <a:off x="2695575" y="4124325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295275</xdr:colOff>
      <xdr:row>17</xdr:row>
      <xdr:rowOff>114300</xdr:rowOff>
    </xdr:from>
    <xdr:to>
      <xdr:col>7</xdr:col>
      <xdr:colOff>428625</xdr:colOff>
      <xdr:row>21</xdr:row>
      <xdr:rowOff>133351</xdr:rowOff>
    </xdr:to>
    <xdr:sp macro="" textlink="">
      <xdr:nvSpPr>
        <xdr:cNvPr id="18" name="Flowchart: Connector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/>
      </xdr:nvSpPr>
      <xdr:spPr>
        <a:xfrm>
          <a:off x="1514475" y="4114800"/>
          <a:ext cx="742950" cy="781051"/>
        </a:xfrm>
        <a:prstGeom prst="flowChartConnector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485775</xdr:colOff>
      <xdr:row>11</xdr:row>
      <xdr:rowOff>85725</xdr:rowOff>
    </xdr:from>
    <xdr:to>
      <xdr:col>7</xdr:col>
      <xdr:colOff>9525</xdr:colOff>
      <xdr:row>15</xdr:row>
      <xdr:rowOff>104776</xdr:rowOff>
    </xdr:to>
    <xdr:sp macro="" textlink="">
      <xdr:nvSpPr>
        <xdr:cNvPr id="19" name="Flowchart: Connector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/>
      </xdr:nvSpPr>
      <xdr:spPr>
        <a:xfrm>
          <a:off x="1095375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285750</xdr:colOff>
      <xdr:row>11</xdr:row>
      <xdr:rowOff>95250</xdr:rowOff>
    </xdr:from>
    <xdr:to>
      <xdr:col>8</xdr:col>
      <xdr:colOff>419100</xdr:colOff>
      <xdr:row>15</xdr:row>
      <xdr:rowOff>114301</xdr:rowOff>
    </xdr:to>
    <xdr:sp macro="" textlink="">
      <xdr:nvSpPr>
        <xdr:cNvPr id="20" name="Flowchart: Connector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/>
      </xdr:nvSpPr>
      <xdr:spPr>
        <a:xfrm>
          <a:off x="21145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76200</xdr:colOff>
      <xdr:row>11</xdr:row>
      <xdr:rowOff>85725</xdr:rowOff>
    </xdr:from>
    <xdr:to>
      <xdr:col>10</xdr:col>
      <xdr:colOff>209550</xdr:colOff>
      <xdr:row>15</xdr:row>
      <xdr:rowOff>104776</xdr:rowOff>
    </xdr:to>
    <xdr:sp macro="" textlink="">
      <xdr:nvSpPr>
        <xdr:cNvPr id="21" name="Flowchart: Connector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/>
      </xdr:nvSpPr>
      <xdr:spPr>
        <a:xfrm>
          <a:off x="3124200" y="2943225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552450</xdr:colOff>
      <xdr:row>11</xdr:row>
      <xdr:rowOff>95250</xdr:rowOff>
    </xdr:from>
    <xdr:to>
      <xdr:col>12</xdr:col>
      <xdr:colOff>76200</xdr:colOff>
      <xdr:row>15</xdr:row>
      <xdr:rowOff>114301</xdr:rowOff>
    </xdr:to>
    <xdr:sp macro="" textlink="">
      <xdr:nvSpPr>
        <xdr:cNvPr id="22" name="Flowchart: Connector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/>
      </xdr:nvSpPr>
      <xdr:spPr>
        <a:xfrm>
          <a:off x="4210050" y="2952750"/>
          <a:ext cx="742950" cy="781051"/>
        </a:xfrm>
        <a:prstGeom prst="flowChartConnector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171450</xdr:colOff>
      <xdr:row>23</xdr:row>
      <xdr:rowOff>66675</xdr:rowOff>
    </xdr:from>
    <xdr:to>
      <xdr:col>11</xdr:col>
      <xdr:colOff>304800</xdr:colOff>
      <xdr:row>27</xdr:row>
      <xdr:rowOff>85726</xdr:rowOff>
    </xdr:to>
    <xdr:sp macro="" textlink="">
      <xdr:nvSpPr>
        <xdr:cNvPr id="24" name="Flowchart: Connector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/>
      </xdr:nvSpPr>
      <xdr:spPr>
        <a:xfrm>
          <a:off x="3829050" y="5210175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200025</xdr:colOff>
      <xdr:row>28</xdr:row>
      <xdr:rowOff>171450</xdr:rowOff>
    </xdr:from>
    <xdr:to>
      <xdr:col>9</xdr:col>
      <xdr:colOff>333375</xdr:colOff>
      <xdr:row>33</xdr:row>
      <xdr:rowOff>1</xdr:rowOff>
    </xdr:to>
    <xdr:sp macro="" textlink="">
      <xdr:nvSpPr>
        <xdr:cNvPr id="25" name="Flowchart: Connector 24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/>
      </xdr:nvSpPr>
      <xdr:spPr>
        <a:xfrm>
          <a:off x="5686425" y="5505450"/>
          <a:ext cx="742950" cy="781051"/>
        </a:xfrm>
        <a:prstGeom prst="flowChartConnector">
          <a:avLst/>
        </a:prstGeom>
        <a:solidFill>
          <a:schemeClr val="accent6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361950</xdr:colOff>
      <xdr:row>16</xdr:row>
      <xdr:rowOff>85725</xdr:rowOff>
    </xdr:from>
    <xdr:to>
      <xdr:col>12</xdr:col>
      <xdr:colOff>476250</xdr:colOff>
      <xdr:row>16</xdr:row>
      <xdr:rowOff>104776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CxnSpPr/>
      </xdr:nvCxnSpPr>
      <xdr:spPr>
        <a:xfrm flipV="1">
          <a:off x="3409950" y="3133725"/>
          <a:ext cx="4991100" cy="1905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352425</xdr:colOff>
      <xdr:row>22</xdr:row>
      <xdr:rowOff>123825</xdr:rowOff>
    </xdr:from>
    <xdr:to>
      <xdr:col>12</xdr:col>
      <xdr:colOff>523875</xdr:colOff>
      <xdr:row>22</xdr:row>
      <xdr:rowOff>142875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CxnSpPr/>
      </xdr:nvCxnSpPr>
      <xdr:spPr>
        <a:xfrm flipV="1">
          <a:off x="352425" y="5076825"/>
          <a:ext cx="504825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295275</xdr:colOff>
      <xdr:row>28</xdr:row>
      <xdr:rowOff>47625</xdr:rowOff>
    </xdr:from>
    <xdr:to>
      <xdr:col>12</xdr:col>
      <xdr:colOff>552450</xdr:colOff>
      <xdr:row>28</xdr:row>
      <xdr:rowOff>66676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CxnSpPr/>
      </xdr:nvCxnSpPr>
      <xdr:spPr>
        <a:xfrm flipV="1">
          <a:off x="3343275" y="5381625"/>
          <a:ext cx="5133975" cy="1905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383114</xdr:colOff>
      <xdr:row>28</xdr:row>
      <xdr:rowOff>167215</xdr:rowOff>
    </xdr:from>
    <xdr:to>
      <xdr:col>16</xdr:col>
      <xdr:colOff>504825</xdr:colOff>
      <xdr:row>32</xdr:row>
      <xdr:rowOff>57150</xdr:rowOff>
    </xdr:to>
    <xdr:sp macro="" textlink="">
      <xdr:nvSpPr>
        <xdr:cNvPr id="32" name="TextBox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 txBox="1"/>
      </xdr:nvSpPr>
      <xdr:spPr>
        <a:xfrm>
          <a:off x="7698314" y="5501215"/>
          <a:ext cx="2560111" cy="6519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Current/Current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 (click here)</a:t>
          </a:r>
        </a:p>
      </xdr:txBody>
    </xdr:sp>
    <xdr:clientData/>
  </xdr:twoCellAnchor>
  <xdr:twoCellAnchor>
    <xdr:from>
      <xdr:col>15</xdr:col>
      <xdr:colOff>87840</xdr:colOff>
      <xdr:row>54</xdr:row>
      <xdr:rowOff>100540</xdr:rowOff>
    </xdr:from>
    <xdr:to>
      <xdr:col>17</xdr:col>
      <xdr:colOff>485775</xdr:colOff>
      <xdr:row>57</xdr:row>
      <xdr:rowOff>28575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 txBox="1"/>
      </xdr:nvSpPr>
      <xdr:spPr>
        <a:xfrm>
          <a:off x="6793440" y="11149540"/>
          <a:ext cx="1617135" cy="4995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Initial Target</a:t>
          </a:r>
        </a:p>
      </xdr:txBody>
    </xdr:sp>
    <xdr:clientData/>
  </xdr:twoCellAnchor>
  <xdr:twoCellAnchor>
    <xdr:from>
      <xdr:col>12</xdr:col>
      <xdr:colOff>354539</xdr:colOff>
      <xdr:row>23</xdr:row>
      <xdr:rowOff>110065</xdr:rowOff>
    </xdr:from>
    <xdr:to>
      <xdr:col>16</xdr:col>
      <xdr:colOff>542924</xdr:colOff>
      <xdr:row>26</xdr:row>
      <xdr:rowOff>123825</xdr:rowOff>
    </xdr:to>
    <xdr:sp macro="" textlink="">
      <xdr:nvSpPr>
        <xdr:cNvPr id="34" name="Text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 txBox="1"/>
      </xdr:nvSpPr>
      <xdr:spPr>
        <a:xfrm>
          <a:off x="7669739" y="4491565"/>
          <a:ext cx="2626785" cy="585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Current/Modified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(click here)</a:t>
          </a:r>
        </a:p>
      </xdr:txBody>
    </xdr:sp>
    <xdr:clientData/>
  </xdr:twoCellAnchor>
  <xdr:twoCellAnchor>
    <xdr:from>
      <xdr:col>12</xdr:col>
      <xdr:colOff>342900</xdr:colOff>
      <xdr:row>17</xdr:row>
      <xdr:rowOff>104775</xdr:rowOff>
    </xdr:from>
    <xdr:to>
      <xdr:col>16</xdr:col>
      <xdr:colOff>590550</xdr:colOff>
      <xdr:row>21</xdr:row>
      <xdr:rowOff>9525</xdr:rowOff>
    </xdr:to>
    <xdr:sp macro="" textlink="">
      <xdr:nvSpPr>
        <xdr:cNvPr id="36" name="TextBox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 txBox="1"/>
      </xdr:nvSpPr>
      <xdr:spPr>
        <a:xfrm>
          <a:off x="7658100" y="3343275"/>
          <a:ext cx="2686050" cy="666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Modified/Current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(click here)</a:t>
          </a:r>
        </a:p>
      </xdr:txBody>
    </xdr:sp>
    <xdr:clientData/>
  </xdr:twoCellAnchor>
  <xdr:twoCellAnchor>
    <xdr:from>
      <xdr:col>12</xdr:col>
      <xdr:colOff>295275</xdr:colOff>
      <xdr:row>12</xdr:row>
      <xdr:rowOff>38100</xdr:rowOff>
    </xdr:from>
    <xdr:to>
      <xdr:col>16</xdr:col>
      <xdr:colOff>581025</xdr:colOff>
      <xdr:row>15</xdr:row>
      <xdr:rowOff>104775</xdr:rowOff>
    </xdr:to>
    <xdr:sp macro="" textlink="">
      <xdr:nvSpPr>
        <xdr:cNvPr id="37" name="TextBox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 txBox="1"/>
      </xdr:nvSpPr>
      <xdr:spPr>
        <a:xfrm>
          <a:off x="7610475" y="2324100"/>
          <a:ext cx="2724150" cy="638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Modified/Modified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(click here)</a:t>
          </a:r>
        </a:p>
      </xdr:txBody>
    </xdr:sp>
    <xdr:clientData/>
  </xdr:twoCellAnchor>
  <xdr:twoCellAnchor>
    <xdr:from>
      <xdr:col>6</xdr:col>
      <xdr:colOff>257175</xdr:colOff>
      <xdr:row>23</xdr:row>
      <xdr:rowOff>57150</xdr:rowOff>
    </xdr:from>
    <xdr:to>
      <xdr:col>7</xdr:col>
      <xdr:colOff>390525</xdr:colOff>
      <xdr:row>27</xdr:row>
      <xdr:rowOff>76201</xdr:rowOff>
    </xdr:to>
    <xdr:sp macro="" textlink="">
      <xdr:nvSpPr>
        <xdr:cNvPr id="45" name="Flowchart: Connector 44">
          <a:extLst>
            <a:ext uri="{FF2B5EF4-FFF2-40B4-BE49-F238E27FC236}">
              <a16:creationId xmlns:a16="http://schemas.microsoft.com/office/drawing/2014/main" id="{00000000-0008-0000-1900-00002D000000}"/>
            </a:ext>
          </a:extLst>
        </xdr:cNvPr>
        <xdr:cNvSpPr/>
      </xdr:nvSpPr>
      <xdr:spPr>
        <a:xfrm>
          <a:off x="3914775" y="4438650"/>
          <a:ext cx="742950" cy="781051"/>
        </a:xfrm>
        <a:prstGeom prst="flowChartConnector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333375</xdr:colOff>
      <xdr:row>7</xdr:row>
      <xdr:rowOff>85725</xdr:rowOff>
    </xdr:from>
    <xdr:to>
      <xdr:col>16</xdr:col>
      <xdr:colOff>238125</xdr:colOff>
      <xdr:row>10</xdr:row>
      <xdr:rowOff>13760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900-00002E000000}"/>
            </a:ext>
          </a:extLst>
        </xdr:cNvPr>
        <xdr:cNvSpPr txBox="1"/>
      </xdr:nvSpPr>
      <xdr:spPr>
        <a:xfrm>
          <a:off x="8258175" y="2181225"/>
          <a:ext cx="2343150" cy="49953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Market/Portfolio</a:t>
          </a:r>
        </a:p>
      </xdr:txBody>
    </xdr:sp>
    <xdr:clientData/>
  </xdr:twoCellAnchor>
  <xdr:twoCellAnchor>
    <xdr:from>
      <xdr:col>4</xdr:col>
      <xdr:colOff>323850</xdr:colOff>
      <xdr:row>10</xdr:row>
      <xdr:rowOff>66675</xdr:rowOff>
    </xdr:from>
    <xdr:to>
      <xdr:col>16</xdr:col>
      <xdr:colOff>447675</xdr:colOff>
      <xdr:row>10</xdr:row>
      <xdr:rowOff>85725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0000000-0008-0000-1900-000033000000}"/>
            </a:ext>
          </a:extLst>
        </xdr:cNvPr>
        <xdr:cNvCxnSpPr/>
      </xdr:nvCxnSpPr>
      <xdr:spPr>
        <a:xfrm>
          <a:off x="2762250" y="1971675"/>
          <a:ext cx="743902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352424</xdr:colOff>
      <xdr:row>5</xdr:row>
      <xdr:rowOff>180975</xdr:rowOff>
    </xdr:from>
    <xdr:to>
      <xdr:col>11</xdr:col>
      <xdr:colOff>457199</xdr:colOff>
      <xdr:row>9</xdr:row>
      <xdr:rowOff>114300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900-000034000000}"/>
            </a:ext>
          </a:extLst>
        </xdr:cNvPr>
        <xdr:cNvSpPr txBox="1"/>
      </xdr:nvSpPr>
      <xdr:spPr>
        <a:xfrm>
          <a:off x="4010024" y="1133475"/>
          <a:ext cx="3762375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The Bowling Alley Strategy</a:t>
          </a:r>
        </a:p>
      </xdr:txBody>
    </xdr:sp>
    <xdr:clientData/>
  </xdr:twoCellAnchor>
  <xdr:twoCellAnchor>
    <xdr:from>
      <xdr:col>17</xdr:col>
      <xdr:colOff>161925</xdr:colOff>
      <xdr:row>5</xdr:row>
      <xdr:rowOff>152400</xdr:rowOff>
    </xdr:from>
    <xdr:to>
      <xdr:col>17</xdr:col>
      <xdr:colOff>190500</xdr:colOff>
      <xdr:row>31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CxnSpPr/>
      </xdr:nvCxnSpPr>
      <xdr:spPr>
        <a:xfrm flipH="1" flipV="1">
          <a:off x="10525125" y="1104900"/>
          <a:ext cx="28575" cy="49720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133350</xdr:colOff>
      <xdr:row>4</xdr:row>
      <xdr:rowOff>171450</xdr:rowOff>
    </xdr:from>
    <xdr:to>
      <xdr:col>12</xdr:col>
      <xdr:colOff>200025</xdr:colOff>
      <xdr:row>33</xdr:row>
      <xdr:rowOff>28575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CxnSpPr/>
      </xdr:nvCxnSpPr>
      <xdr:spPr>
        <a:xfrm>
          <a:off x="8058150" y="933450"/>
          <a:ext cx="66675" cy="53816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485775</xdr:colOff>
      <xdr:row>1</xdr:row>
      <xdr:rowOff>180975</xdr:rowOff>
    </xdr:from>
    <xdr:to>
      <xdr:col>19</xdr:col>
      <xdr:colOff>428625</xdr:colOff>
      <xdr:row>5</xdr:row>
      <xdr:rowOff>171450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900-000036000000}"/>
            </a:ext>
          </a:extLst>
        </xdr:cNvPr>
        <xdr:cNvSpPr txBox="1"/>
      </xdr:nvSpPr>
      <xdr:spPr>
        <a:xfrm>
          <a:off x="10239375" y="371475"/>
          <a:ext cx="177165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Sequence of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 Market/Portfolio Development</a:t>
          </a:r>
        </a:p>
      </xdr:txBody>
    </xdr:sp>
    <xdr:clientData/>
  </xdr:twoCellAnchor>
  <xdr:twoCellAnchor>
    <xdr:from>
      <xdr:col>0</xdr:col>
      <xdr:colOff>485775</xdr:colOff>
      <xdr:row>12</xdr:row>
      <xdr:rowOff>28575</xdr:rowOff>
    </xdr:from>
    <xdr:to>
      <xdr:col>3</xdr:col>
      <xdr:colOff>447674</xdr:colOff>
      <xdr:row>16</xdr:row>
      <xdr:rowOff>9524</xdr:rowOff>
    </xdr:to>
    <xdr:sp macro="" textlink="">
      <xdr:nvSpPr>
        <xdr:cNvPr id="56" name="TextBox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38000000}"/>
            </a:ext>
          </a:extLst>
        </xdr:cNvPr>
        <xdr:cNvSpPr txBox="1"/>
      </xdr:nvSpPr>
      <xdr:spPr>
        <a:xfrm>
          <a:off x="485775" y="2314575"/>
          <a:ext cx="1790699" cy="742949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Risk Considerations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(Click Here)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516465</xdr:colOff>
      <xdr:row>3</xdr:row>
      <xdr:rowOff>5290</xdr:rowOff>
    </xdr:from>
    <xdr:to>
      <xdr:col>19</xdr:col>
      <xdr:colOff>542925</xdr:colOff>
      <xdr:row>5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660465" y="576790"/>
          <a:ext cx="2464860" cy="4423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How do you make money?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12</xdr:col>
      <xdr:colOff>419100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/>
      </xdr:nvSpPr>
      <xdr:spPr>
        <a:xfrm>
          <a:off x="2120900" y="512233"/>
          <a:ext cx="56134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4. Master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Business Model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2</xdr:col>
      <xdr:colOff>314324</xdr:colOff>
      <xdr:row>10</xdr:row>
      <xdr:rowOff>66675</xdr:rowOff>
    </xdr:from>
    <xdr:to>
      <xdr:col>8</xdr:col>
      <xdr:colOff>304799</xdr:colOff>
      <xdr:row>12</xdr:row>
      <xdr:rowOff>128060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1533524" y="1971675"/>
          <a:ext cx="3648075" cy="4423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Pursue "Blue Ocean" Opportunities</a:t>
          </a:r>
        </a:p>
      </xdr:txBody>
    </xdr:sp>
    <xdr:clientData/>
  </xdr:twoCellAnchor>
  <xdr:twoCellAnchor>
    <xdr:from>
      <xdr:col>2</xdr:col>
      <xdr:colOff>314325</xdr:colOff>
      <xdr:row>13</xdr:row>
      <xdr:rowOff>57150</xdr:rowOff>
    </xdr:from>
    <xdr:to>
      <xdr:col>8</xdr:col>
      <xdr:colOff>304800</xdr:colOff>
      <xdr:row>15</xdr:row>
      <xdr:rowOff>118535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533525" y="2533650"/>
          <a:ext cx="3648075" cy="4423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Create uncontested business spaces</a:t>
          </a:r>
        </a:p>
      </xdr:txBody>
    </xdr:sp>
    <xdr:clientData/>
  </xdr:twoCellAnchor>
  <xdr:twoCellAnchor>
    <xdr:from>
      <xdr:col>2</xdr:col>
      <xdr:colOff>323850</xdr:colOff>
      <xdr:row>16</xdr:row>
      <xdr:rowOff>38100</xdr:rowOff>
    </xdr:from>
    <xdr:to>
      <xdr:col>8</xdr:col>
      <xdr:colOff>314325</xdr:colOff>
      <xdr:row>18</xdr:row>
      <xdr:rowOff>99485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/>
      </xdr:nvSpPr>
      <xdr:spPr>
        <a:xfrm>
          <a:off x="1543050" y="3086100"/>
          <a:ext cx="3648075" cy="4423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Intersect different domains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304800</xdr:colOff>
      <xdr:row>19</xdr:row>
      <xdr:rowOff>38100</xdr:rowOff>
    </xdr:from>
    <xdr:to>
      <xdr:col>8</xdr:col>
      <xdr:colOff>295275</xdr:colOff>
      <xdr:row>21</xdr:row>
      <xdr:rowOff>99485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/>
      </xdr:nvSpPr>
      <xdr:spPr>
        <a:xfrm>
          <a:off x="1524000" y="3657600"/>
          <a:ext cx="3648075" cy="4423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Build a wide "moat"</a:t>
          </a:r>
        </a:p>
      </xdr:txBody>
    </xdr:sp>
    <xdr:clientData/>
  </xdr:twoCellAnchor>
  <xdr:twoCellAnchor>
    <xdr:from>
      <xdr:col>2</xdr:col>
      <xdr:colOff>285750</xdr:colOff>
      <xdr:row>22</xdr:row>
      <xdr:rowOff>38100</xdr:rowOff>
    </xdr:from>
    <xdr:to>
      <xdr:col>8</xdr:col>
      <xdr:colOff>276225</xdr:colOff>
      <xdr:row>24</xdr:row>
      <xdr:rowOff>180975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1504950" y="4229100"/>
          <a:ext cx="3648075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Erect high barriers to entry by competitiors</a:t>
          </a:r>
        </a:p>
      </xdr:txBody>
    </xdr:sp>
    <xdr:clientData/>
  </xdr:twoCellAnchor>
  <xdr:twoCellAnchor>
    <xdr:from>
      <xdr:col>2</xdr:col>
      <xdr:colOff>276225</xdr:colOff>
      <xdr:row>25</xdr:row>
      <xdr:rowOff>152401</xdr:rowOff>
    </xdr:from>
    <xdr:to>
      <xdr:col>8</xdr:col>
      <xdr:colOff>266700</xdr:colOff>
      <xdr:row>28</xdr:row>
      <xdr:rowOff>19051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/>
      </xdr:nvSpPr>
      <xdr:spPr>
        <a:xfrm>
          <a:off x="1495425" y="4914901"/>
          <a:ext cx="3648075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Erect high barriers to exit by users</a:t>
          </a:r>
        </a:p>
      </xdr:txBody>
    </xdr:sp>
    <xdr:clientData/>
  </xdr:twoCellAnchor>
  <xdr:twoCellAnchor>
    <xdr:from>
      <xdr:col>2</xdr:col>
      <xdr:colOff>276225</xdr:colOff>
      <xdr:row>28</xdr:row>
      <xdr:rowOff>171450</xdr:rowOff>
    </xdr:from>
    <xdr:to>
      <xdr:col>8</xdr:col>
      <xdr:colOff>266700</xdr:colOff>
      <xdr:row>31</xdr:row>
      <xdr:rowOff>123825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1495425" y="5505450"/>
          <a:ext cx="3648075" cy="52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Extend the Absolute Competitive Advantage Period</a:t>
          </a:r>
        </a:p>
      </xdr:txBody>
    </xdr:sp>
    <xdr:clientData/>
  </xdr:twoCellAnchor>
  <xdr:twoCellAnchor>
    <xdr:from>
      <xdr:col>10</xdr:col>
      <xdr:colOff>581024</xdr:colOff>
      <xdr:row>9</xdr:row>
      <xdr:rowOff>9524</xdr:rowOff>
    </xdr:from>
    <xdr:to>
      <xdr:col>13</xdr:col>
      <xdr:colOff>247650</xdr:colOff>
      <xdr:row>17</xdr:row>
      <xdr:rowOff>114300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6677024" y="1724024"/>
          <a:ext cx="1495426" cy="1628776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152399</xdr:colOff>
      <xdr:row>9</xdr:row>
      <xdr:rowOff>38099</xdr:rowOff>
    </xdr:from>
    <xdr:to>
      <xdr:col>14</xdr:col>
      <xdr:colOff>428625</xdr:colOff>
      <xdr:row>17</xdr:row>
      <xdr:rowOff>142875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7467599" y="1752599"/>
          <a:ext cx="1495426" cy="1628776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342900</xdr:colOff>
      <xdr:row>14</xdr:row>
      <xdr:rowOff>47625</xdr:rowOff>
    </xdr:from>
    <xdr:to>
      <xdr:col>14</xdr:col>
      <xdr:colOff>9526</xdr:colOff>
      <xdr:row>22</xdr:row>
      <xdr:rowOff>152401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048500" y="2714625"/>
          <a:ext cx="1495426" cy="1628776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116415</xdr:colOff>
      <xdr:row>10</xdr:row>
      <xdr:rowOff>62440</xdr:rowOff>
    </xdr:from>
    <xdr:to>
      <xdr:col>11</xdr:col>
      <xdr:colOff>561975</xdr:colOff>
      <xdr:row>12</xdr:row>
      <xdr:rowOff>123825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 txBox="1"/>
      </xdr:nvSpPr>
      <xdr:spPr>
        <a:xfrm>
          <a:off x="6212415" y="1967440"/>
          <a:ext cx="1055160" cy="4423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aseline="0">
              <a:latin typeface="Lucida Bright" panose="02040602050505020304" pitchFamily="18" charset="0"/>
            </a:rPr>
            <a:t>Remote Monitoring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14</xdr:col>
      <xdr:colOff>21164</xdr:colOff>
      <xdr:row>10</xdr:row>
      <xdr:rowOff>24340</xdr:rowOff>
    </xdr:from>
    <xdr:to>
      <xdr:col>16</xdr:col>
      <xdr:colOff>342899</xdr:colOff>
      <xdr:row>11</xdr:row>
      <xdr:rowOff>180975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 txBox="1"/>
      </xdr:nvSpPr>
      <xdr:spPr>
        <a:xfrm>
          <a:off x="8555564" y="1929340"/>
          <a:ext cx="1540935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Virtual Telehealth</a:t>
          </a:r>
        </a:p>
      </xdr:txBody>
    </xdr:sp>
    <xdr:clientData/>
  </xdr:twoCellAnchor>
  <xdr:twoCellAnchor>
    <xdr:from>
      <xdr:col>10</xdr:col>
      <xdr:colOff>2114</xdr:colOff>
      <xdr:row>19</xdr:row>
      <xdr:rowOff>167215</xdr:rowOff>
    </xdr:from>
    <xdr:to>
      <xdr:col>12</xdr:col>
      <xdr:colOff>323849</xdr:colOff>
      <xdr:row>21</xdr:row>
      <xdr:rowOff>133350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 txBox="1"/>
      </xdr:nvSpPr>
      <xdr:spPr>
        <a:xfrm>
          <a:off x="6098114" y="3786715"/>
          <a:ext cx="1540935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Integrated CRM</a:t>
          </a:r>
        </a:p>
      </xdr:txBody>
    </xdr:sp>
    <xdr:clientData/>
  </xdr:twoCellAnchor>
  <xdr:twoCellAnchor>
    <xdr:from>
      <xdr:col>13</xdr:col>
      <xdr:colOff>171450</xdr:colOff>
      <xdr:row>14</xdr:row>
      <xdr:rowOff>152400</xdr:rowOff>
    </xdr:from>
    <xdr:to>
      <xdr:col>15</xdr:col>
      <xdr:colOff>447676</xdr:colOff>
      <xdr:row>23</xdr:row>
      <xdr:rowOff>66676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8096250" y="2819400"/>
          <a:ext cx="1495426" cy="1628776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38100</xdr:colOff>
      <xdr:row>15</xdr:row>
      <xdr:rowOff>142875</xdr:rowOff>
    </xdr:from>
    <xdr:to>
      <xdr:col>17</xdr:col>
      <xdr:colOff>359835</xdr:colOff>
      <xdr:row>17</xdr:row>
      <xdr:rowOff>109010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 txBox="1"/>
      </xdr:nvSpPr>
      <xdr:spPr>
        <a:xfrm>
          <a:off x="9182100" y="3000375"/>
          <a:ext cx="1540935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Enhanced Billing</a:t>
          </a:r>
        </a:p>
      </xdr:txBody>
    </xdr:sp>
    <xdr:clientData/>
  </xdr:twoCellAnchor>
  <xdr:twoCellAnchor>
    <xdr:from>
      <xdr:col>10</xdr:col>
      <xdr:colOff>180975</xdr:colOff>
      <xdr:row>38</xdr:row>
      <xdr:rowOff>171451</xdr:rowOff>
    </xdr:from>
    <xdr:to>
      <xdr:col>17</xdr:col>
      <xdr:colOff>361950</xdr:colOff>
      <xdr:row>39</xdr:row>
      <xdr:rowOff>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CxnSpPr/>
      </xdr:nvCxnSpPr>
      <xdr:spPr>
        <a:xfrm flipV="1">
          <a:off x="6276975" y="7410451"/>
          <a:ext cx="4448175" cy="1904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180975</xdr:colOff>
      <xdr:row>23</xdr:row>
      <xdr:rowOff>0</xdr:rowOff>
    </xdr:from>
    <xdr:to>
      <xdr:col>10</xdr:col>
      <xdr:colOff>200025</xdr:colOff>
      <xdr:row>39</xdr:row>
      <xdr:rowOff>9525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CxnSpPr/>
      </xdr:nvCxnSpPr>
      <xdr:spPr>
        <a:xfrm flipV="1">
          <a:off x="6276975" y="4381500"/>
          <a:ext cx="19050" cy="3057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27</xdr:row>
      <xdr:rowOff>123825</xdr:rowOff>
    </xdr:from>
    <xdr:to>
      <xdr:col>17</xdr:col>
      <xdr:colOff>381000</xdr:colOff>
      <xdr:row>27</xdr:row>
      <xdr:rowOff>142874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CxnSpPr/>
      </xdr:nvCxnSpPr>
      <xdr:spPr>
        <a:xfrm flipV="1">
          <a:off x="6296025" y="5267325"/>
          <a:ext cx="4448175" cy="1904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34</xdr:row>
      <xdr:rowOff>57150</xdr:rowOff>
    </xdr:from>
    <xdr:to>
      <xdr:col>17</xdr:col>
      <xdr:colOff>371475</xdr:colOff>
      <xdr:row>34</xdr:row>
      <xdr:rowOff>76199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CxnSpPr/>
      </xdr:nvCxnSpPr>
      <xdr:spPr>
        <a:xfrm flipV="1">
          <a:off x="6286500" y="6534150"/>
          <a:ext cx="4448175" cy="1904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466725</xdr:colOff>
      <xdr:row>28</xdr:row>
      <xdr:rowOff>133350</xdr:rowOff>
    </xdr:from>
    <xdr:to>
      <xdr:col>17</xdr:col>
      <xdr:colOff>161925</xdr:colOff>
      <xdr:row>33</xdr:row>
      <xdr:rowOff>96130</xdr:rowOff>
    </xdr:to>
    <xdr:sp macro="" textlink="">
      <xdr:nvSpPr>
        <xdr:cNvPr id="39" name="Freeform 38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/>
      </xdr:nvSpPr>
      <xdr:spPr>
        <a:xfrm>
          <a:off x="6562725" y="5467350"/>
          <a:ext cx="3962400" cy="915280"/>
        </a:xfrm>
        <a:custGeom>
          <a:avLst/>
          <a:gdLst>
            <a:gd name="connsiteX0" fmla="*/ 0 w 3962400"/>
            <a:gd name="connsiteY0" fmla="*/ 0 h 915280"/>
            <a:gd name="connsiteX1" fmla="*/ 381000 w 3962400"/>
            <a:gd name="connsiteY1" fmla="*/ 9525 h 915280"/>
            <a:gd name="connsiteX2" fmla="*/ 457200 w 3962400"/>
            <a:gd name="connsiteY2" fmla="*/ 19050 h 915280"/>
            <a:gd name="connsiteX3" fmla="*/ 609600 w 3962400"/>
            <a:gd name="connsiteY3" fmla="*/ 28575 h 915280"/>
            <a:gd name="connsiteX4" fmla="*/ 1304925 w 3962400"/>
            <a:gd name="connsiteY4" fmla="*/ 47625 h 915280"/>
            <a:gd name="connsiteX5" fmla="*/ 1371600 w 3962400"/>
            <a:gd name="connsiteY5" fmla="*/ 66675 h 915280"/>
            <a:gd name="connsiteX6" fmla="*/ 1400175 w 3962400"/>
            <a:gd name="connsiteY6" fmla="*/ 85725 h 915280"/>
            <a:gd name="connsiteX7" fmla="*/ 1476375 w 3962400"/>
            <a:gd name="connsiteY7" fmla="*/ 104775 h 915280"/>
            <a:gd name="connsiteX8" fmla="*/ 1562100 w 3962400"/>
            <a:gd name="connsiteY8" fmla="*/ 142875 h 915280"/>
            <a:gd name="connsiteX9" fmla="*/ 1628775 w 3962400"/>
            <a:gd name="connsiteY9" fmla="*/ 161925 h 915280"/>
            <a:gd name="connsiteX10" fmla="*/ 1685925 w 3962400"/>
            <a:gd name="connsiteY10" fmla="*/ 200025 h 915280"/>
            <a:gd name="connsiteX11" fmla="*/ 1714500 w 3962400"/>
            <a:gd name="connsiteY11" fmla="*/ 209550 h 915280"/>
            <a:gd name="connsiteX12" fmla="*/ 1771650 w 3962400"/>
            <a:gd name="connsiteY12" fmla="*/ 247650 h 915280"/>
            <a:gd name="connsiteX13" fmla="*/ 1828800 w 3962400"/>
            <a:gd name="connsiteY13" fmla="*/ 276225 h 915280"/>
            <a:gd name="connsiteX14" fmla="*/ 1857375 w 3962400"/>
            <a:gd name="connsiteY14" fmla="*/ 285750 h 915280"/>
            <a:gd name="connsiteX15" fmla="*/ 1914525 w 3962400"/>
            <a:gd name="connsiteY15" fmla="*/ 323850 h 915280"/>
            <a:gd name="connsiteX16" fmla="*/ 1971675 w 3962400"/>
            <a:gd name="connsiteY16" fmla="*/ 352425 h 915280"/>
            <a:gd name="connsiteX17" fmla="*/ 2000250 w 3962400"/>
            <a:gd name="connsiteY17" fmla="*/ 361950 h 915280"/>
            <a:gd name="connsiteX18" fmla="*/ 2028825 w 3962400"/>
            <a:gd name="connsiteY18" fmla="*/ 381000 h 915280"/>
            <a:gd name="connsiteX19" fmla="*/ 2085975 w 3962400"/>
            <a:gd name="connsiteY19" fmla="*/ 400050 h 915280"/>
            <a:gd name="connsiteX20" fmla="*/ 2114550 w 3962400"/>
            <a:gd name="connsiteY20" fmla="*/ 409575 h 915280"/>
            <a:gd name="connsiteX21" fmla="*/ 2143125 w 3962400"/>
            <a:gd name="connsiteY21" fmla="*/ 438150 h 915280"/>
            <a:gd name="connsiteX22" fmla="*/ 2209800 w 3962400"/>
            <a:gd name="connsiteY22" fmla="*/ 466725 h 915280"/>
            <a:gd name="connsiteX23" fmla="*/ 2247900 w 3962400"/>
            <a:gd name="connsiteY23" fmla="*/ 485775 h 915280"/>
            <a:gd name="connsiteX24" fmla="*/ 2276475 w 3962400"/>
            <a:gd name="connsiteY24" fmla="*/ 504825 h 915280"/>
            <a:gd name="connsiteX25" fmla="*/ 2305050 w 3962400"/>
            <a:gd name="connsiteY25" fmla="*/ 533400 h 915280"/>
            <a:gd name="connsiteX26" fmla="*/ 2343150 w 3962400"/>
            <a:gd name="connsiteY26" fmla="*/ 542925 h 915280"/>
            <a:gd name="connsiteX27" fmla="*/ 2409825 w 3962400"/>
            <a:gd name="connsiteY27" fmla="*/ 581025 h 915280"/>
            <a:gd name="connsiteX28" fmla="*/ 2486025 w 3962400"/>
            <a:gd name="connsiteY28" fmla="*/ 600075 h 915280"/>
            <a:gd name="connsiteX29" fmla="*/ 2514600 w 3962400"/>
            <a:gd name="connsiteY29" fmla="*/ 609600 h 915280"/>
            <a:gd name="connsiteX30" fmla="*/ 2590800 w 3962400"/>
            <a:gd name="connsiteY30" fmla="*/ 628650 h 915280"/>
            <a:gd name="connsiteX31" fmla="*/ 2619375 w 3962400"/>
            <a:gd name="connsiteY31" fmla="*/ 638175 h 915280"/>
            <a:gd name="connsiteX32" fmla="*/ 2647950 w 3962400"/>
            <a:gd name="connsiteY32" fmla="*/ 657225 h 915280"/>
            <a:gd name="connsiteX33" fmla="*/ 2676525 w 3962400"/>
            <a:gd name="connsiteY33" fmla="*/ 666750 h 915280"/>
            <a:gd name="connsiteX34" fmla="*/ 2705100 w 3962400"/>
            <a:gd name="connsiteY34" fmla="*/ 685800 h 915280"/>
            <a:gd name="connsiteX35" fmla="*/ 2800350 w 3962400"/>
            <a:gd name="connsiteY35" fmla="*/ 714375 h 915280"/>
            <a:gd name="connsiteX36" fmla="*/ 2847975 w 3962400"/>
            <a:gd name="connsiteY36" fmla="*/ 733425 h 915280"/>
            <a:gd name="connsiteX37" fmla="*/ 2971800 w 3962400"/>
            <a:gd name="connsiteY37" fmla="*/ 762000 h 915280"/>
            <a:gd name="connsiteX38" fmla="*/ 3000375 w 3962400"/>
            <a:gd name="connsiteY38" fmla="*/ 771525 h 915280"/>
            <a:gd name="connsiteX39" fmla="*/ 3095625 w 3962400"/>
            <a:gd name="connsiteY39" fmla="*/ 781050 h 915280"/>
            <a:gd name="connsiteX40" fmla="*/ 3209925 w 3962400"/>
            <a:gd name="connsiteY40" fmla="*/ 819150 h 915280"/>
            <a:gd name="connsiteX41" fmla="*/ 3238500 w 3962400"/>
            <a:gd name="connsiteY41" fmla="*/ 828675 h 915280"/>
            <a:gd name="connsiteX42" fmla="*/ 3362325 w 3962400"/>
            <a:gd name="connsiteY42" fmla="*/ 838200 h 915280"/>
            <a:gd name="connsiteX43" fmla="*/ 3390900 w 3962400"/>
            <a:gd name="connsiteY43" fmla="*/ 847725 h 915280"/>
            <a:gd name="connsiteX44" fmla="*/ 3695700 w 3962400"/>
            <a:gd name="connsiteY44" fmla="*/ 866775 h 915280"/>
            <a:gd name="connsiteX45" fmla="*/ 3781425 w 3962400"/>
            <a:gd name="connsiteY45" fmla="*/ 895350 h 915280"/>
            <a:gd name="connsiteX46" fmla="*/ 3867150 w 3962400"/>
            <a:gd name="connsiteY46" fmla="*/ 914400 h 915280"/>
            <a:gd name="connsiteX47" fmla="*/ 3962400 w 3962400"/>
            <a:gd name="connsiteY47" fmla="*/ 914400 h 9152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</a:cxnLst>
          <a:rect l="l" t="t" r="r" b="b"/>
          <a:pathLst>
            <a:path w="3962400" h="915280">
              <a:moveTo>
                <a:pt x="0" y="0"/>
              </a:moveTo>
              <a:lnTo>
                <a:pt x="381000" y="9525"/>
              </a:lnTo>
              <a:cubicBezTo>
                <a:pt x="406575" y="10591"/>
                <a:pt x="431691" y="16924"/>
                <a:pt x="457200" y="19050"/>
              </a:cubicBezTo>
              <a:cubicBezTo>
                <a:pt x="507923" y="23277"/>
                <a:pt x="558745" y="26456"/>
                <a:pt x="609600" y="28575"/>
              </a:cubicBezTo>
              <a:cubicBezTo>
                <a:pt x="782301" y="35771"/>
                <a:pt x="1148724" y="43815"/>
                <a:pt x="1304925" y="47625"/>
              </a:cubicBezTo>
              <a:cubicBezTo>
                <a:pt x="1317132" y="50677"/>
                <a:pt x="1357935" y="59843"/>
                <a:pt x="1371600" y="66675"/>
              </a:cubicBezTo>
              <a:cubicBezTo>
                <a:pt x="1381839" y="71795"/>
                <a:pt x="1389456" y="81705"/>
                <a:pt x="1400175" y="85725"/>
              </a:cubicBezTo>
              <a:cubicBezTo>
                <a:pt x="1443649" y="102028"/>
                <a:pt x="1441121" y="87148"/>
                <a:pt x="1476375" y="104775"/>
              </a:cubicBezTo>
              <a:cubicBezTo>
                <a:pt x="1538923" y="136049"/>
                <a:pt x="1463806" y="118301"/>
                <a:pt x="1562100" y="142875"/>
              </a:cubicBezTo>
              <a:cubicBezTo>
                <a:pt x="1571068" y="145117"/>
                <a:pt x="1617595" y="155714"/>
                <a:pt x="1628775" y="161925"/>
              </a:cubicBezTo>
              <a:cubicBezTo>
                <a:pt x="1648789" y="173044"/>
                <a:pt x="1664205" y="192785"/>
                <a:pt x="1685925" y="200025"/>
              </a:cubicBezTo>
              <a:cubicBezTo>
                <a:pt x="1695450" y="203200"/>
                <a:pt x="1705723" y="204674"/>
                <a:pt x="1714500" y="209550"/>
              </a:cubicBezTo>
              <a:cubicBezTo>
                <a:pt x="1734514" y="220669"/>
                <a:pt x="1749930" y="240410"/>
                <a:pt x="1771650" y="247650"/>
              </a:cubicBezTo>
              <a:cubicBezTo>
                <a:pt x="1843474" y="271591"/>
                <a:pt x="1754942" y="239296"/>
                <a:pt x="1828800" y="276225"/>
              </a:cubicBezTo>
              <a:cubicBezTo>
                <a:pt x="1837780" y="280715"/>
                <a:pt x="1848598" y="280874"/>
                <a:pt x="1857375" y="285750"/>
              </a:cubicBezTo>
              <a:cubicBezTo>
                <a:pt x="1877389" y="296869"/>
                <a:pt x="1892805" y="316610"/>
                <a:pt x="1914525" y="323850"/>
              </a:cubicBezTo>
              <a:cubicBezTo>
                <a:pt x="1986349" y="347791"/>
                <a:pt x="1897817" y="315496"/>
                <a:pt x="1971675" y="352425"/>
              </a:cubicBezTo>
              <a:cubicBezTo>
                <a:pt x="1980655" y="356915"/>
                <a:pt x="1991270" y="357460"/>
                <a:pt x="2000250" y="361950"/>
              </a:cubicBezTo>
              <a:cubicBezTo>
                <a:pt x="2010489" y="367070"/>
                <a:pt x="2018364" y="376351"/>
                <a:pt x="2028825" y="381000"/>
              </a:cubicBezTo>
              <a:cubicBezTo>
                <a:pt x="2047175" y="389155"/>
                <a:pt x="2066925" y="393700"/>
                <a:pt x="2085975" y="400050"/>
              </a:cubicBezTo>
              <a:lnTo>
                <a:pt x="2114550" y="409575"/>
              </a:lnTo>
              <a:cubicBezTo>
                <a:pt x="2124075" y="419100"/>
                <a:pt x="2132164" y="430320"/>
                <a:pt x="2143125" y="438150"/>
              </a:cubicBezTo>
              <a:cubicBezTo>
                <a:pt x="2174715" y="460715"/>
                <a:pt x="2178708" y="453400"/>
                <a:pt x="2209800" y="466725"/>
              </a:cubicBezTo>
              <a:cubicBezTo>
                <a:pt x="2222851" y="472318"/>
                <a:pt x="2235572" y="478730"/>
                <a:pt x="2247900" y="485775"/>
              </a:cubicBezTo>
              <a:cubicBezTo>
                <a:pt x="2257839" y="491455"/>
                <a:pt x="2267681" y="497496"/>
                <a:pt x="2276475" y="504825"/>
              </a:cubicBezTo>
              <a:cubicBezTo>
                <a:pt x="2286823" y="513449"/>
                <a:pt x="2293354" y="526717"/>
                <a:pt x="2305050" y="533400"/>
              </a:cubicBezTo>
              <a:cubicBezTo>
                <a:pt x="2316416" y="539895"/>
                <a:pt x="2330450" y="539750"/>
                <a:pt x="2343150" y="542925"/>
              </a:cubicBezTo>
              <a:cubicBezTo>
                <a:pt x="2371848" y="562057"/>
                <a:pt x="2375988" y="566523"/>
                <a:pt x="2409825" y="581025"/>
              </a:cubicBezTo>
              <a:cubicBezTo>
                <a:pt x="2440307" y="594089"/>
                <a:pt x="2450245" y="591130"/>
                <a:pt x="2486025" y="600075"/>
              </a:cubicBezTo>
              <a:cubicBezTo>
                <a:pt x="2495765" y="602510"/>
                <a:pt x="2504914" y="606958"/>
                <a:pt x="2514600" y="609600"/>
              </a:cubicBezTo>
              <a:cubicBezTo>
                <a:pt x="2539859" y="616489"/>
                <a:pt x="2565962" y="620371"/>
                <a:pt x="2590800" y="628650"/>
              </a:cubicBezTo>
              <a:cubicBezTo>
                <a:pt x="2600325" y="631825"/>
                <a:pt x="2610395" y="633685"/>
                <a:pt x="2619375" y="638175"/>
              </a:cubicBezTo>
              <a:cubicBezTo>
                <a:pt x="2629614" y="643295"/>
                <a:pt x="2637711" y="652105"/>
                <a:pt x="2647950" y="657225"/>
              </a:cubicBezTo>
              <a:cubicBezTo>
                <a:pt x="2656930" y="661715"/>
                <a:pt x="2667545" y="662260"/>
                <a:pt x="2676525" y="666750"/>
              </a:cubicBezTo>
              <a:cubicBezTo>
                <a:pt x="2686764" y="671870"/>
                <a:pt x="2694639" y="681151"/>
                <a:pt x="2705100" y="685800"/>
              </a:cubicBezTo>
              <a:cubicBezTo>
                <a:pt x="2771344" y="715242"/>
                <a:pt x="2744937" y="695904"/>
                <a:pt x="2800350" y="714375"/>
              </a:cubicBezTo>
              <a:cubicBezTo>
                <a:pt x="2816570" y="719782"/>
                <a:pt x="2831633" y="728397"/>
                <a:pt x="2847975" y="733425"/>
              </a:cubicBezTo>
              <a:cubicBezTo>
                <a:pt x="2950709" y="765035"/>
                <a:pt x="2891806" y="742002"/>
                <a:pt x="2971800" y="762000"/>
              </a:cubicBezTo>
              <a:cubicBezTo>
                <a:pt x="2981540" y="764435"/>
                <a:pt x="2990452" y="769998"/>
                <a:pt x="3000375" y="771525"/>
              </a:cubicBezTo>
              <a:cubicBezTo>
                <a:pt x="3031912" y="776377"/>
                <a:pt x="3063875" y="777875"/>
                <a:pt x="3095625" y="781050"/>
              </a:cubicBezTo>
              <a:lnTo>
                <a:pt x="3209925" y="819150"/>
              </a:lnTo>
              <a:cubicBezTo>
                <a:pt x="3219450" y="822325"/>
                <a:pt x="3228489" y="827905"/>
                <a:pt x="3238500" y="828675"/>
              </a:cubicBezTo>
              <a:lnTo>
                <a:pt x="3362325" y="838200"/>
              </a:lnTo>
              <a:cubicBezTo>
                <a:pt x="3371850" y="841375"/>
                <a:pt x="3381246" y="844967"/>
                <a:pt x="3390900" y="847725"/>
              </a:cubicBezTo>
              <a:cubicBezTo>
                <a:pt x="3497529" y="878190"/>
                <a:pt x="3536681" y="861096"/>
                <a:pt x="3695700" y="866775"/>
              </a:cubicBezTo>
              <a:lnTo>
                <a:pt x="3781425" y="895350"/>
              </a:lnTo>
              <a:cubicBezTo>
                <a:pt x="3814914" y="906513"/>
                <a:pt x="3825886" y="911821"/>
                <a:pt x="3867150" y="914400"/>
              </a:cubicBezTo>
              <a:cubicBezTo>
                <a:pt x="3898838" y="916381"/>
                <a:pt x="3930650" y="914400"/>
                <a:pt x="3962400" y="91440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257175</xdr:colOff>
      <xdr:row>25</xdr:row>
      <xdr:rowOff>1</xdr:rowOff>
    </xdr:from>
    <xdr:to>
      <xdr:col>13</xdr:col>
      <xdr:colOff>285750</xdr:colOff>
      <xdr:row>39</xdr:row>
      <xdr:rowOff>85725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CxnSpPr/>
      </xdr:nvCxnSpPr>
      <xdr:spPr>
        <a:xfrm flipH="1" flipV="1">
          <a:off x="8181975" y="4762501"/>
          <a:ext cx="28575" cy="275272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39</xdr:row>
      <xdr:rowOff>66675</xdr:rowOff>
    </xdr:from>
    <xdr:to>
      <xdr:col>13</xdr:col>
      <xdr:colOff>76200</xdr:colOff>
      <xdr:row>41</xdr:row>
      <xdr:rowOff>32810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A00-00002C000000}"/>
            </a:ext>
          </a:extLst>
        </xdr:cNvPr>
        <xdr:cNvSpPr txBox="1"/>
      </xdr:nvSpPr>
      <xdr:spPr>
        <a:xfrm>
          <a:off x="6381750" y="7496175"/>
          <a:ext cx="1619250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ACAP</a:t>
          </a:r>
        </a:p>
      </xdr:txBody>
    </xdr:sp>
    <xdr:clientData/>
  </xdr:twoCellAnchor>
  <xdr:twoCellAnchor>
    <xdr:from>
      <xdr:col>15</xdr:col>
      <xdr:colOff>66675</xdr:colOff>
      <xdr:row>29</xdr:row>
      <xdr:rowOff>171451</xdr:rowOff>
    </xdr:from>
    <xdr:to>
      <xdr:col>17</xdr:col>
      <xdr:colOff>428624</xdr:colOff>
      <xdr:row>32</xdr:row>
      <xdr:rowOff>109011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A00-00002D000000}"/>
            </a:ext>
          </a:extLst>
        </xdr:cNvPr>
        <xdr:cNvSpPr txBox="1"/>
      </xdr:nvSpPr>
      <xdr:spPr>
        <a:xfrm>
          <a:off x="9210675" y="5695951"/>
          <a:ext cx="1581149" cy="5090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aseline="0">
              <a:latin typeface="Lucida Bright" panose="02040602050505020304" pitchFamily="18" charset="0"/>
            </a:rPr>
            <a:t>Regression to the mean process</a:t>
          </a:r>
        </a:p>
      </xdr:txBody>
    </xdr:sp>
    <xdr:clientData/>
  </xdr:twoCellAnchor>
  <xdr:twoCellAnchor>
    <xdr:from>
      <xdr:col>13</xdr:col>
      <xdr:colOff>361950</xdr:colOff>
      <xdr:row>39</xdr:row>
      <xdr:rowOff>123825</xdr:rowOff>
    </xdr:from>
    <xdr:to>
      <xdr:col>17</xdr:col>
      <xdr:colOff>171450</xdr:colOff>
      <xdr:row>41</xdr:row>
      <xdr:rowOff>89960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A00-00002E000000}"/>
            </a:ext>
          </a:extLst>
        </xdr:cNvPr>
        <xdr:cNvSpPr txBox="1"/>
      </xdr:nvSpPr>
      <xdr:spPr>
        <a:xfrm>
          <a:off x="8286750" y="7553325"/>
          <a:ext cx="2247900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     Commodity Period</a:t>
          </a:r>
        </a:p>
      </xdr:txBody>
    </xdr:sp>
    <xdr:clientData/>
  </xdr:twoCellAnchor>
  <xdr:twoCellAnchor>
    <xdr:from>
      <xdr:col>17</xdr:col>
      <xdr:colOff>457200</xdr:colOff>
      <xdr:row>33</xdr:row>
      <xdr:rowOff>114300</xdr:rowOff>
    </xdr:from>
    <xdr:to>
      <xdr:col>21</xdr:col>
      <xdr:colOff>438150</xdr:colOff>
      <xdr:row>35</xdr:row>
      <xdr:rowOff>80435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A00-00002F000000}"/>
            </a:ext>
          </a:extLst>
        </xdr:cNvPr>
        <xdr:cNvSpPr txBox="1"/>
      </xdr:nvSpPr>
      <xdr:spPr>
        <a:xfrm>
          <a:off x="10820400" y="6400800"/>
          <a:ext cx="2419350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     Average Industry Returns</a:t>
          </a:r>
        </a:p>
      </xdr:txBody>
    </xdr:sp>
    <xdr:clientData/>
  </xdr:twoCellAnchor>
  <xdr:twoCellAnchor>
    <xdr:from>
      <xdr:col>17</xdr:col>
      <xdr:colOff>485775</xdr:colOff>
      <xdr:row>26</xdr:row>
      <xdr:rowOff>142875</xdr:rowOff>
    </xdr:from>
    <xdr:to>
      <xdr:col>20</xdr:col>
      <xdr:colOff>142875</xdr:colOff>
      <xdr:row>28</xdr:row>
      <xdr:rowOff>109010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A00-000030000000}"/>
            </a:ext>
          </a:extLst>
        </xdr:cNvPr>
        <xdr:cNvSpPr txBox="1"/>
      </xdr:nvSpPr>
      <xdr:spPr>
        <a:xfrm>
          <a:off x="10848975" y="5095875"/>
          <a:ext cx="1485900" cy="3471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aseline="0">
              <a:latin typeface="Lucida Bright" panose="02040602050505020304" pitchFamily="18" charset="0"/>
            </a:rPr>
            <a:t>     HC Returns</a:t>
          </a:r>
        </a:p>
      </xdr:txBody>
    </xdr:sp>
    <xdr:clientData/>
  </xdr:twoCellAnchor>
  <xdr:twoCellAnchor>
    <xdr:from>
      <xdr:col>0</xdr:col>
      <xdr:colOff>514350</xdr:colOff>
      <xdr:row>10</xdr:row>
      <xdr:rowOff>85725</xdr:rowOff>
    </xdr:from>
    <xdr:to>
      <xdr:col>0</xdr:col>
      <xdr:colOff>523875</xdr:colOff>
      <xdr:row>10</xdr:row>
      <xdr:rowOff>123825</xdr:rowOff>
    </xdr:to>
    <xdr:cxnSp macro="">
      <xdr:nvCxnSpPr>
        <xdr:cNvPr id="23" name="Connector: Elbow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CxnSpPr/>
      </xdr:nvCxnSpPr>
      <xdr:spPr>
        <a:xfrm rot="16200000" flipV="1">
          <a:off x="500063" y="2005012"/>
          <a:ext cx="38100" cy="9525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190498</xdr:rowOff>
    </xdr:from>
    <xdr:to>
      <xdr:col>2</xdr:col>
      <xdr:colOff>475191</xdr:colOff>
      <xdr:row>5</xdr:row>
      <xdr:rowOff>178858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38175" y="190498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6</xdr:col>
      <xdr:colOff>92075</xdr:colOff>
      <xdr:row>1</xdr:row>
      <xdr:rowOff>7408</xdr:rowOff>
    </xdr:from>
    <xdr:to>
      <xdr:col>12</xdr:col>
      <xdr:colOff>495300</xdr:colOff>
      <xdr:row>4</xdr:row>
      <xdr:rowOff>102659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3749675" y="197908"/>
          <a:ext cx="4060825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2. Strategic Thrust</a:t>
          </a:r>
        </a:p>
      </xdr:txBody>
    </xdr:sp>
    <xdr:clientData/>
  </xdr:twoCellAnchor>
  <xdr:twoCellAnchor>
    <xdr:from>
      <xdr:col>0</xdr:col>
      <xdr:colOff>147108</xdr:colOff>
      <xdr:row>33</xdr:row>
      <xdr:rowOff>29633</xdr:rowOff>
    </xdr:from>
    <xdr:to>
      <xdr:col>3</xdr:col>
      <xdr:colOff>162983</xdr:colOff>
      <xdr:row>38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9</xdr:col>
      <xdr:colOff>47625</xdr:colOff>
      <xdr:row>10</xdr:row>
      <xdr:rowOff>85725</xdr:rowOff>
    </xdr:from>
    <xdr:to>
      <xdr:col>9</xdr:col>
      <xdr:colOff>76200</xdr:colOff>
      <xdr:row>30</xdr:row>
      <xdr:rowOff>114303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>
        <a:xfrm flipV="1">
          <a:off x="5534025" y="1990725"/>
          <a:ext cx="28575" cy="479107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30</xdr:row>
      <xdr:rowOff>104775</xdr:rowOff>
    </xdr:from>
    <xdr:to>
      <xdr:col>17</xdr:col>
      <xdr:colOff>409575</xdr:colOff>
      <xdr:row>30</xdr:row>
      <xdr:rowOff>104777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CxnSpPr/>
      </xdr:nvCxnSpPr>
      <xdr:spPr>
        <a:xfrm flipV="1">
          <a:off x="5543550" y="6772275"/>
          <a:ext cx="5229225" cy="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259290</xdr:colOff>
      <xdr:row>6</xdr:row>
      <xdr:rowOff>138640</xdr:rowOff>
    </xdr:from>
    <xdr:to>
      <xdr:col>10</xdr:col>
      <xdr:colOff>523875</xdr:colOff>
      <xdr:row>9</xdr:row>
      <xdr:rowOff>85725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/>
      </xdr:nvSpPr>
      <xdr:spPr>
        <a:xfrm>
          <a:off x="4526490" y="1281640"/>
          <a:ext cx="2093385" cy="5185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Healthcare Market Attractiveness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15</xdr:col>
      <xdr:colOff>592665</xdr:colOff>
      <xdr:row>27</xdr:row>
      <xdr:rowOff>24340</xdr:rowOff>
    </xdr:from>
    <xdr:to>
      <xdr:col>19</xdr:col>
      <xdr:colOff>247650</xdr:colOff>
      <xdr:row>29</xdr:row>
      <xdr:rowOff>161925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/>
      </xdr:nvSpPr>
      <xdr:spPr>
        <a:xfrm>
          <a:off x="9736665" y="5167840"/>
          <a:ext cx="2093385" cy="5185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Company's Position in this market</a:t>
          </a:r>
        </a:p>
      </xdr:txBody>
    </xdr:sp>
    <xdr:clientData/>
  </xdr:twoCellAnchor>
  <xdr:twoCellAnchor>
    <xdr:from>
      <xdr:col>16</xdr:col>
      <xdr:colOff>314325</xdr:colOff>
      <xdr:row>31</xdr:row>
      <xdr:rowOff>19051</xdr:rowOff>
    </xdr:from>
    <xdr:to>
      <xdr:col>17</xdr:col>
      <xdr:colOff>476250</xdr:colOff>
      <xdr:row>32</xdr:row>
      <xdr:rowOff>152401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/>
      </xdr:nvSpPr>
      <xdr:spPr>
        <a:xfrm>
          <a:off x="10067925" y="6877051"/>
          <a:ext cx="77152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Strong</a:t>
          </a:r>
        </a:p>
      </xdr:txBody>
    </xdr:sp>
    <xdr:clientData/>
  </xdr:twoCellAnchor>
  <xdr:twoCellAnchor>
    <xdr:from>
      <xdr:col>9</xdr:col>
      <xdr:colOff>85725</xdr:colOff>
      <xdr:row>31</xdr:row>
      <xdr:rowOff>9526</xdr:rowOff>
    </xdr:from>
    <xdr:to>
      <xdr:col>10</xdr:col>
      <xdr:colOff>247650</xdr:colOff>
      <xdr:row>32</xdr:row>
      <xdr:rowOff>142876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/>
      </xdr:nvSpPr>
      <xdr:spPr>
        <a:xfrm>
          <a:off x="5572125" y="6867526"/>
          <a:ext cx="77152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Weak</a:t>
          </a:r>
        </a:p>
      </xdr:txBody>
    </xdr:sp>
    <xdr:clientData/>
  </xdr:twoCellAnchor>
  <xdr:twoCellAnchor>
    <xdr:from>
      <xdr:col>7</xdr:col>
      <xdr:colOff>85725</xdr:colOff>
      <xdr:row>10</xdr:row>
      <xdr:rowOff>85725</xdr:rowOff>
    </xdr:from>
    <xdr:to>
      <xdr:col>8</xdr:col>
      <xdr:colOff>590550</xdr:colOff>
      <xdr:row>12</xdr:row>
      <xdr:rowOff>28575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/>
      </xdr:nvSpPr>
      <xdr:spPr>
        <a:xfrm>
          <a:off x="4352925" y="1990725"/>
          <a:ext cx="1114425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Very High</a:t>
          </a:r>
        </a:p>
      </xdr:txBody>
    </xdr:sp>
    <xdr:clientData/>
  </xdr:twoCellAnchor>
  <xdr:twoCellAnchor>
    <xdr:from>
      <xdr:col>7</xdr:col>
      <xdr:colOff>104776</xdr:colOff>
      <xdr:row>28</xdr:row>
      <xdr:rowOff>95250</xdr:rowOff>
    </xdr:from>
    <xdr:to>
      <xdr:col>8</xdr:col>
      <xdr:colOff>581026</xdr:colOff>
      <xdr:row>30</xdr:row>
      <xdr:rowOff>38100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/>
      </xdr:nvSpPr>
      <xdr:spPr>
        <a:xfrm>
          <a:off x="4371976" y="6381750"/>
          <a:ext cx="1085850" cy="323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Very Low</a:t>
          </a:r>
        </a:p>
      </xdr:txBody>
    </xdr:sp>
    <xdr:clientData/>
  </xdr:twoCellAnchor>
  <xdr:twoCellAnchor>
    <xdr:from>
      <xdr:col>14</xdr:col>
      <xdr:colOff>230716</xdr:colOff>
      <xdr:row>9</xdr:row>
      <xdr:rowOff>76200</xdr:rowOff>
    </xdr:from>
    <xdr:to>
      <xdr:col>17</xdr:col>
      <xdr:colOff>533400</xdr:colOff>
      <xdr:row>13</xdr:row>
      <xdr:rowOff>104776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/>
      </xdr:nvSpPr>
      <xdr:spPr>
        <a:xfrm>
          <a:off x="8765116" y="1790700"/>
          <a:ext cx="2131484" cy="79057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Focus on Selected Segments to Fuel Growth</a:t>
          </a:r>
        </a:p>
      </xdr:txBody>
    </xdr:sp>
    <xdr:clientData/>
  </xdr:twoCellAnchor>
  <xdr:twoCellAnchor>
    <xdr:from>
      <xdr:col>11</xdr:col>
      <xdr:colOff>561974</xdr:colOff>
      <xdr:row>17</xdr:row>
      <xdr:rowOff>180975</xdr:rowOff>
    </xdr:from>
    <xdr:to>
      <xdr:col>15</xdr:col>
      <xdr:colOff>361949</xdr:colOff>
      <xdr:row>20</xdr:row>
      <xdr:rowOff>99485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/>
      </xdr:nvSpPr>
      <xdr:spPr>
        <a:xfrm>
          <a:off x="7267574" y="3419475"/>
          <a:ext cx="2238375" cy="4900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Harvest Selected Niches</a:t>
          </a:r>
        </a:p>
      </xdr:txBody>
    </xdr:sp>
    <xdr:clientData/>
  </xdr:twoCellAnchor>
  <xdr:twoCellAnchor>
    <xdr:from>
      <xdr:col>9</xdr:col>
      <xdr:colOff>523875</xdr:colOff>
      <xdr:row>24</xdr:row>
      <xdr:rowOff>47625</xdr:rowOff>
    </xdr:from>
    <xdr:to>
      <xdr:col>12</xdr:col>
      <xdr:colOff>245535</xdr:colOff>
      <xdr:row>26</xdr:row>
      <xdr:rowOff>156635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/>
      </xdr:nvSpPr>
      <xdr:spPr>
        <a:xfrm>
          <a:off x="6010275" y="4619625"/>
          <a:ext cx="1550460" cy="49001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Exit</a:t>
          </a:r>
        </a:p>
      </xdr:txBody>
    </xdr:sp>
    <xdr:clientData/>
  </xdr:twoCellAnchor>
  <xdr:twoCellAnchor>
    <xdr:from>
      <xdr:col>2</xdr:col>
      <xdr:colOff>97365</xdr:colOff>
      <xdr:row>6</xdr:row>
      <xdr:rowOff>167215</xdr:rowOff>
    </xdr:from>
    <xdr:to>
      <xdr:col>6</xdr:col>
      <xdr:colOff>409575</xdr:colOff>
      <xdr:row>9</xdr:row>
      <xdr:rowOff>133350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/>
      </xdr:nvSpPr>
      <xdr:spPr>
        <a:xfrm>
          <a:off x="1316565" y="1310215"/>
          <a:ext cx="2750610" cy="5376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Porter/Ansoff/Podobas Matrix</a:t>
          </a:r>
        </a:p>
      </xdr:txBody>
    </xdr:sp>
    <xdr:clientData/>
  </xdr:twoCellAnchor>
  <xdr:twoCellAnchor>
    <xdr:from>
      <xdr:col>16</xdr:col>
      <xdr:colOff>200025</xdr:colOff>
      <xdr:row>4</xdr:row>
      <xdr:rowOff>76200</xdr:rowOff>
    </xdr:from>
    <xdr:to>
      <xdr:col>19</xdr:col>
      <xdr:colOff>9525</xdr:colOff>
      <xdr:row>7</xdr:row>
      <xdr:rowOff>117348</xdr:rowOff>
    </xdr:to>
    <xdr:sp macro="" textlink="">
      <xdr:nvSpPr>
        <xdr:cNvPr id="6" name="Speech Bubble: Rectangle with Corners Rounded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9953625" y="838200"/>
          <a:ext cx="1638300" cy="612648"/>
        </a:xfrm>
        <a:prstGeom prst="wedgeRoundRectCallout">
          <a:avLst>
            <a:gd name="adj1" fmla="val -52083"/>
            <a:gd name="adj2" fmla="val 10914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Establish</a:t>
          </a:r>
          <a:r>
            <a:rPr lang="en-US" sz="1100" baseline="0"/>
            <a:t> a beachhead and expand from here.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115356</xdr:rowOff>
    </xdr:from>
    <xdr:to>
      <xdr:col>2</xdr:col>
      <xdr:colOff>122765</xdr:colOff>
      <xdr:row>5</xdr:row>
      <xdr:rowOff>10583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" y="115356"/>
          <a:ext cx="1064682" cy="847727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0</xdr:colOff>
      <xdr:row>55</xdr:row>
      <xdr:rowOff>29633</xdr:rowOff>
    </xdr:from>
    <xdr:to>
      <xdr:col>4</xdr:col>
      <xdr:colOff>51858</xdr:colOff>
      <xdr:row>60</xdr:row>
      <xdr:rowOff>167216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/>
      </xdr:nvSpPr>
      <xdr:spPr>
        <a:xfrm>
          <a:off x="1928283" y="10316633"/>
          <a:ext cx="1847850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6</xdr:col>
      <xdr:colOff>383118</xdr:colOff>
      <xdr:row>1</xdr:row>
      <xdr:rowOff>16932</xdr:rowOff>
    </xdr:from>
    <xdr:to>
      <xdr:col>17</xdr:col>
      <xdr:colOff>349250</xdr:colOff>
      <xdr:row>4</xdr:row>
      <xdr:rowOff>112183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4193118" y="207432"/>
          <a:ext cx="5480049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Consolidated Outcomes</a:t>
          </a:r>
        </a:p>
      </xdr:txBody>
    </xdr:sp>
    <xdr:clientData/>
  </xdr:twoCellAnchor>
  <xdr:twoCellAnchor>
    <xdr:from>
      <xdr:col>3</xdr:col>
      <xdr:colOff>523876</xdr:colOff>
      <xdr:row>11</xdr:row>
      <xdr:rowOff>9524</xdr:rowOff>
    </xdr:from>
    <xdr:to>
      <xdr:col>6</xdr:col>
      <xdr:colOff>571500</xdr:colOff>
      <xdr:row>14</xdr:row>
      <xdr:rowOff>57149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/>
      </xdr:nvSpPr>
      <xdr:spPr>
        <a:xfrm>
          <a:off x="2365376" y="2105024"/>
          <a:ext cx="2016124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 2021</a:t>
          </a:r>
        </a:p>
      </xdr:txBody>
    </xdr:sp>
    <xdr:clientData/>
  </xdr:twoCellAnchor>
  <xdr:twoCellAnchor>
    <xdr:from>
      <xdr:col>3</xdr:col>
      <xdr:colOff>504826</xdr:colOff>
      <xdr:row>14</xdr:row>
      <xdr:rowOff>180974</xdr:rowOff>
    </xdr:from>
    <xdr:to>
      <xdr:col>6</xdr:col>
      <xdr:colOff>581026</xdr:colOff>
      <xdr:row>18</xdr:row>
      <xdr:rowOff>38099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3552826" y="2847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2022</a:t>
          </a:r>
        </a:p>
      </xdr:txBody>
    </xdr:sp>
    <xdr:clientData/>
  </xdr:twoCellAnchor>
  <xdr:twoCellAnchor>
    <xdr:from>
      <xdr:col>3</xdr:col>
      <xdr:colOff>542927</xdr:colOff>
      <xdr:row>18</xdr:row>
      <xdr:rowOff>180974</xdr:rowOff>
    </xdr:from>
    <xdr:to>
      <xdr:col>6</xdr:col>
      <xdr:colOff>571501</xdr:colOff>
      <xdr:row>22</xdr:row>
      <xdr:rowOff>38099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2384427" y="3609974"/>
          <a:ext cx="1997074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2023</a:t>
          </a:r>
        </a:p>
      </xdr:txBody>
    </xdr:sp>
    <xdr:clientData/>
  </xdr:twoCellAnchor>
  <xdr:twoCellAnchor>
    <xdr:from>
      <xdr:col>3</xdr:col>
      <xdr:colOff>542927</xdr:colOff>
      <xdr:row>22</xdr:row>
      <xdr:rowOff>190499</xdr:rowOff>
    </xdr:from>
    <xdr:to>
      <xdr:col>6</xdr:col>
      <xdr:colOff>560917</xdr:colOff>
      <xdr:row>26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/>
      </xdr:nvSpPr>
      <xdr:spPr>
        <a:xfrm>
          <a:off x="2384427" y="4381499"/>
          <a:ext cx="1986490" cy="5715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2024</a:t>
          </a:r>
        </a:p>
      </xdr:txBody>
    </xdr:sp>
    <xdr:clientData/>
  </xdr:twoCellAnchor>
  <xdr:twoCellAnchor>
    <xdr:from>
      <xdr:col>10</xdr:col>
      <xdr:colOff>17993</xdr:colOff>
      <xdr:row>6</xdr:row>
      <xdr:rowOff>95251</xdr:rowOff>
    </xdr:from>
    <xdr:to>
      <xdr:col>11</xdr:col>
      <xdr:colOff>21167</xdr:colOff>
      <xdr:row>10</xdr:row>
      <xdr:rowOff>132292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/>
      </xdr:nvSpPr>
      <xdr:spPr>
        <a:xfrm>
          <a:off x="6018743" y="1238251"/>
          <a:ext cx="1008591" cy="7990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 per user</a:t>
          </a:r>
        </a:p>
      </xdr:txBody>
    </xdr:sp>
    <xdr:clientData/>
  </xdr:twoCellAnchor>
  <xdr:twoCellAnchor>
    <xdr:from>
      <xdr:col>11</xdr:col>
      <xdr:colOff>147108</xdr:colOff>
      <xdr:row>6</xdr:row>
      <xdr:rowOff>95250</xdr:rowOff>
    </xdr:from>
    <xdr:to>
      <xdr:col>13</xdr:col>
      <xdr:colOff>222249</xdr:colOff>
      <xdr:row>10</xdr:row>
      <xdr:rowOff>147108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/>
      </xdr:nvSpPr>
      <xdr:spPr>
        <a:xfrm>
          <a:off x="7153275" y="1238250"/>
          <a:ext cx="932391" cy="8138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 per user</a:t>
          </a:r>
        </a:p>
      </xdr:txBody>
    </xdr:sp>
    <xdr:clientData/>
  </xdr:twoCellAnchor>
  <xdr:twoCellAnchor>
    <xdr:from>
      <xdr:col>15</xdr:col>
      <xdr:colOff>21168</xdr:colOff>
      <xdr:row>6</xdr:row>
      <xdr:rowOff>114299</xdr:rowOff>
    </xdr:from>
    <xdr:to>
      <xdr:col>16</xdr:col>
      <xdr:colOff>550334</xdr:colOff>
      <xdr:row>10</xdr:row>
      <xdr:rowOff>158750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/>
      </xdr:nvSpPr>
      <xdr:spPr>
        <a:xfrm>
          <a:off x="9327093" y="1257299"/>
          <a:ext cx="1138766" cy="80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</a:t>
          </a:r>
        </a:p>
      </xdr:txBody>
    </xdr:sp>
    <xdr:clientData/>
  </xdr:twoCellAnchor>
  <xdr:twoCellAnchor>
    <xdr:from>
      <xdr:col>3</xdr:col>
      <xdr:colOff>563034</xdr:colOff>
      <xdr:row>6</xdr:row>
      <xdr:rowOff>154517</xdr:rowOff>
    </xdr:from>
    <xdr:to>
      <xdr:col>6</xdr:col>
      <xdr:colOff>560917</xdr:colOff>
      <xdr:row>10</xdr:row>
      <xdr:rowOff>40217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/>
      </xdr:nvSpPr>
      <xdr:spPr>
        <a:xfrm>
          <a:off x="2404534" y="1297517"/>
          <a:ext cx="1966383" cy="647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Assumes Year End Convention</a:t>
          </a:r>
        </a:p>
      </xdr:txBody>
    </xdr:sp>
    <xdr:clientData/>
  </xdr:twoCellAnchor>
  <xdr:twoCellAnchor>
    <xdr:from>
      <xdr:col>3</xdr:col>
      <xdr:colOff>486835</xdr:colOff>
      <xdr:row>31</xdr:row>
      <xdr:rowOff>169332</xdr:rowOff>
    </xdr:from>
    <xdr:to>
      <xdr:col>6</xdr:col>
      <xdr:colOff>592669</xdr:colOff>
      <xdr:row>35</xdr:row>
      <xdr:rowOff>23282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/>
      </xdr:nvSpPr>
      <xdr:spPr>
        <a:xfrm>
          <a:off x="2328335" y="6127749"/>
          <a:ext cx="2074334" cy="61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Valuation</a:t>
          </a:r>
        </a:p>
      </xdr:txBody>
    </xdr:sp>
    <xdr:clientData/>
  </xdr:twoCellAnchor>
  <xdr:twoCellAnchor>
    <xdr:from>
      <xdr:col>3</xdr:col>
      <xdr:colOff>486835</xdr:colOff>
      <xdr:row>27</xdr:row>
      <xdr:rowOff>10585</xdr:rowOff>
    </xdr:from>
    <xdr:to>
      <xdr:col>6</xdr:col>
      <xdr:colOff>582083</xdr:colOff>
      <xdr:row>30</xdr:row>
      <xdr:rowOff>31751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/>
      </xdr:nvSpPr>
      <xdr:spPr>
        <a:xfrm>
          <a:off x="2328335" y="5207002"/>
          <a:ext cx="2063748" cy="59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Multiplier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(2024)</a:t>
          </a:r>
        </a:p>
      </xdr:txBody>
    </xdr:sp>
    <xdr:clientData/>
  </xdr:twoCellAnchor>
  <xdr:twoCellAnchor>
    <xdr:from>
      <xdr:col>18</xdr:col>
      <xdr:colOff>338670</xdr:colOff>
      <xdr:row>6</xdr:row>
      <xdr:rowOff>116416</xdr:rowOff>
    </xdr:from>
    <xdr:to>
      <xdr:col>23</xdr:col>
      <xdr:colOff>412751</xdr:colOff>
      <xdr:row>20</xdr:row>
      <xdr:rowOff>42332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/>
      </xdr:nvSpPr>
      <xdr:spPr>
        <a:xfrm>
          <a:off x="10477503" y="1259416"/>
          <a:ext cx="3143248" cy="26140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Lucida Bright" panose="02040602050505020304" pitchFamily="18" charset="0"/>
            </a:rPr>
            <a:t>What is it?</a:t>
          </a:r>
        </a:p>
      </xdr:txBody>
    </xdr:sp>
    <xdr:clientData/>
  </xdr:twoCellAnchor>
  <xdr:twoCellAnchor>
    <xdr:from>
      <xdr:col>7</xdr:col>
      <xdr:colOff>43393</xdr:colOff>
      <xdr:row>6</xdr:row>
      <xdr:rowOff>137583</xdr:rowOff>
    </xdr:from>
    <xdr:to>
      <xdr:col>8</xdr:col>
      <xdr:colOff>550333</xdr:colOff>
      <xdr:row>10</xdr:row>
      <xdr:rowOff>157692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/>
      </xdr:nvSpPr>
      <xdr:spPr>
        <a:xfrm>
          <a:off x="4467226" y="1280583"/>
          <a:ext cx="1321857" cy="7821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Users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26</xdr:row>
          <xdr:rowOff>180975</xdr:rowOff>
        </xdr:from>
        <xdr:to>
          <xdr:col>10</xdr:col>
          <xdr:colOff>38100</xdr:colOff>
          <xdr:row>30</xdr:row>
          <xdr:rowOff>19050</xdr:rowOff>
        </xdr:to>
        <xdr:sp macro="" textlink="">
          <xdr:nvSpPr>
            <xdr:cNvPr id="56330" name="ScrollBar1" hidden="1">
              <a:extLst>
                <a:ext uri="{63B3BB69-23CF-44E3-9099-C40C66FF867C}">
                  <a14:compatExt spid="_x0000_s56330"/>
                </a:ext>
                <a:ext uri="{FF2B5EF4-FFF2-40B4-BE49-F238E27FC236}">
                  <a16:creationId xmlns:a16="http://schemas.microsoft.com/office/drawing/2014/main" id="{00000000-0008-0000-1C00-00000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359230</xdr:colOff>
      <xdr:row>0</xdr:row>
      <xdr:rowOff>172809</xdr:rowOff>
    </xdr:from>
    <xdr:to>
      <xdr:col>3</xdr:col>
      <xdr:colOff>196246</xdr:colOff>
      <xdr:row>5</xdr:row>
      <xdr:rowOff>161169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968830" y="172809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8</xdr:col>
      <xdr:colOff>228600</xdr:colOff>
      <xdr:row>1</xdr:row>
      <xdr:rowOff>98577</xdr:rowOff>
    </xdr:from>
    <xdr:to>
      <xdr:col>16</xdr:col>
      <xdr:colOff>364216</xdr:colOff>
      <xdr:row>9</xdr:row>
      <xdr:rowOff>85725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95800" y="289077"/>
          <a:ext cx="4517116" cy="15111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Outcomes</a:t>
          </a:r>
        </a:p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Market/Portfolio</a:t>
          </a:r>
        </a:p>
      </xdr:txBody>
    </xdr:sp>
    <xdr:clientData/>
  </xdr:twoCellAnchor>
  <xdr:twoCellAnchor>
    <xdr:from>
      <xdr:col>8</xdr:col>
      <xdr:colOff>299962</xdr:colOff>
      <xdr:row>49</xdr:row>
      <xdr:rowOff>120347</xdr:rowOff>
    </xdr:from>
    <xdr:to>
      <xdr:col>11</xdr:col>
      <xdr:colOff>315837</xdr:colOff>
      <xdr:row>55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567162" y="9454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153761</xdr:colOff>
      <xdr:row>12</xdr:row>
      <xdr:rowOff>141514</xdr:rowOff>
    </xdr:from>
    <xdr:to>
      <xdr:col>11</xdr:col>
      <xdr:colOff>180975</xdr:colOff>
      <xdr:row>16</xdr:row>
      <xdr:rowOff>180975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20961" y="2427514"/>
          <a:ext cx="1856014" cy="801461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twoCellAnchor>
  <xdr:twoCellAnchor>
    <xdr:from>
      <xdr:col>8</xdr:col>
      <xdr:colOff>152400</xdr:colOff>
      <xdr:row>18</xdr:row>
      <xdr:rowOff>29936</xdr:rowOff>
    </xdr:from>
    <xdr:to>
      <xdr:col>11</xdr:col>
      <xdr:colOff>174171</xdr:colOff>
      <xdr:row>22</xdr:row>
      <xdr:rowOff>76200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4419600" y="3458936"/>
          <a:ext cx="1850571" cy="80826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Current/Modified</a:t>
          </a:r>
        </a:p>
      </xdr:txBody>
    </xdr:sp>
    <xdr:clientData/>
  </xdr:twoCellAnchor>
  <xdr:twoCellAnchor>
    <xdr:from>
      <xdr:col>12</xdr:col>
      <xdr:colOff>277586</xdr:colOff>
      <xdr:row>12</xdr:row>
      <xdr:rowOff>163288</xdr:rowOff>
    </xdr:from>
    <xdr:to>
      <xdr:col>16</xdr:col>
      <xdr:colOff>190500</xdr:colOff>
      <xdr:row>16</xdr:row>
      <xdr:rowOff>180975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6983186" y="2449288"/>
          <a:ext cx="1856014" cy="77968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Modified/Current</a:t>
          </a:r>
        </a:p>
      </xdr:txBody>
    </xdr:sp>
    <xdr:clientData/>
  </xdr:twoCellAnchor>
  <xdr:twoCellAnchor>
    <xdr:from>
      <xdr:col>12</xdr:col>
      <xdr:colOff>300717</xdr:colOff>
      <xdr:row>18</xdr:row>
      <xdr:rowOff>10886</xdr:rowOff>
    </xdr:from>
    <xdr:to>
      <xdr:col>16</xdr:col>
      <xdr:colOff>208188</xdr:colOff>
      <xdr:row>22</xdr:row>
      <xdr:rowOff>47625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7006317" y="3439886"/>
          <a:ext cx="1850571" cy="798739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Modified/Modified</a:t>
          </a:r>
        </a:p>
      </xdr:txBody>
    </xdr:sp>
    <xdr:clientData/>
  </xdr:twoCellAnchor>
  <xdr:twoCellAnchor>
    <xdr:from>
      <xdr:col>8</xdr:col>
      <xdr:colOff>161925</xdr:colOff>
      <xdr:row>8</xdr:row>
      <xdr:rowOff>9525</xdr:rowOff>
    </xdr:from>
    <xdr:to>
      <xdr:col>16</xdr:col>
      <xdr:colOff>297541</xdr:colOff>
      <xdr:row>11</xdr:row>
      <xdr:rowOff>101448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4429125" y="1533525"/>
          <a:ext cx="4517116" cy="6634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Market</a:t>
          </a:r>
          <a:r>
            <a:rPr lang="en-US" sz="18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/Portfolio</a:t>
          </a:r>
          <a:endParaRPr lang="en-US" sz="18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4</xdr:col>
      <xdr:colOff>161925</xdr:colOff>
      <xdr:row>14</xdr:row>
      <xdr:rowOff>152400</xdr:rowOff>
    </xdr:from>
    <xdr:to>
      <xdr:col>7</xdr:col>
      <xdr:colOff>189139</xdr:colOff>
      <xdr:row>19</xdr:row>
      <xdr:rowOff>1361</xdr:rowOff>
    </xdr:to>
    <xdr:sp macro="" textlink="">
      <xdr:nvSpPr>
        <xdr:cNvPr id="11" name="TextBox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381125" y="2819400"/>
          <a:ext cx="1856014" cy="80146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Consolidated Outcome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539750</xdr:colOff>
      <xdr:row>1</xdr:row>
      <xdr:rowOff>20106</xdr:rowOff>
    </xdr:from>
    <xdr:to>
      <xdr:col>3</xdr:col>
      <xdr:colOff>376765</xdr:colOff>
      <xdr:row>5</xdr:row>
      <xdr:rowOff>105833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149350" y="210606"/>
          <a:ext cx="1056215" cy="847727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99483</xdr:colOff>
      <xdr:row>54</xdr:row>
      <xdr:rowOff>29633</xdr:rowOff>
    </xdr:from>
    <xdr:to>
      <xdr:col>6</xdr:col>
      <xdr:colOff>51858</xdr:colOff>
      <xdr:row>59</xdr:row>
      <xdr:rowOff>167216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/>
      </xdr:nvSpPr>
      <xdr:spPr>
        <a:xfrm>
          <a:off x="1928283" y="10316633"/>
          <a:ext cx="1847850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467784</xdr:colOff>
      <xdr:row>1</xdr:row>
      <xdr:rowOff>16933</xdr:rowOff>
    </xdr:from>
    <xdr:to>
      <xdr:col>22</xdr:col>
      <xdr:colOff>571500</xdr:colOff>
      <xdr:row>4</xdr:row>
      <xdr:rowOff>112184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3536951" y="207433"/>
          <a:ext cx="10041466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Outcomes: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</a:t>
          </a:r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Current Market/Modified Portfolio</a:t>
          </a:r>
        </a:p>
      </xdr:txBody>
    </xdr:sp>
    <xdr:clientData/>
  </xdr:twoCellAnchor>
  <xdr:twoCellAnchor>
    <xdr:from>
      <xdr:col>5</xdr:col>
      <xdr:colOff>523876</xdr:colOff>
      <xdr:row>11</xdr:row>
      <xdr:rowOff>9524</xdr:rowOff>
    </xdr:from>
    <xdr:to>
      <xdr:col>8</xdr:col>
      <xdr:colOff>600076</xdr:colOff>
      <xdr:row>14</xdr:row>
      <xdr:rowOff>57149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3571876" y="210502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</xdr:row>
          <xdr:rowOff>19050</xdr:rowOff>
        </xdr:from>
        <xdr:to>
          <xdr:col>10</xdr:col>
          <xdr:colOff>590550</xdr:colOff>
          <xdr:row>14</xdr:row>
          <xdr:rowOff>47625</xdr:rowOff>
        </xdr:to>
        <xdr:sp macro="" textlink="">
          <xdr:nvSpPr>
            <xdr:cNvPr id="55297" name="ScrollBar2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1D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504826</xdr:colOff>
      <xdr:row>14</xdr:row>
      <xdr:rowOff>180974</xdr:rowOff>
    </xdr:from>
    <xdr:to>
      <xdr:col>8</xdr:col>
      <xdr:colOff>581026</xdr:colOff>
      <xdr:row>18</xdr:row>
      <xdr:rowOff>38099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3552826" y="2847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2022</a:t>
          </a:r>
        </a:p>
      </xdr:txBody>
    </xdr:sp>
    <xdr:clientData/>
  </xdr:twoCellAnchor>
  <xdr:twoCellAnchor>
    <xdr:from>
      <xdr:col>5</xdr:col>
      <xdr:colOff>542926</xdr:colOff>
      <xdr:row>18</xdr:row>
      <xdr:rowOff>180974</xdr:rowOff>
    </xdr:from>
    <xdr:to>
      <xdr:col>9</xdr:col>
      <xdr:colOff>9526</xdr:colOff>
      <xdr:row>22</xdr:row>
      <xdr:rowOff>38099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3590926" y="3609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2023</a:t>
          </a:r>
        </a:p>
      </xdr:txBody>
    </xdr:sp>
    <xdr:clientData/>
  </xdr:twoCellAnchor>
  <xdr:twoCellAnchor>
    <xdr:from>
      <xdr:col>5</xdr:col>
      <xdr:colOff>542926</xdr:colOff>
      <xdr:row>22</xdr:row>
      <xdr:rowOff>190499</xdr:rowOff>
    </xdr:from>
    <xdr:to>
      <xdr:col>9</xdr:col>
      <xdr:colOff>9526</xdr:colOff>
      <xdr:row>26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3590926" y="4381499"/>
          <a:ext cx="2038350" cy="5715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16</xdr:row>
          <xdr:rowOff>180975</xdr:rowOff>
        </xdr:from>
        <xdr:to>
          <xdr:col>10</xdr:col>
          <xdr:colOff>590550</xdr:colOff>
          <xdr:row>18</xdr:row>
          <xdr:rowOff>57150</xdr:rowOff>
        </xdr:to>
        <xdr:sp macro="" textlink="">
          <xdr:nvSpPr>
            <xdr:cNvPr id="55298" name="ScrollBar3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1D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21</xdr:row>
          <xdr:rowOff>0</xdr:rowOff>
        </xdr:from>
        <xdr:to>
          <xdr:col>10</xdr:col>
          <xdr:colOff>590550</xdr:colOff>
          <xdr:row>22</xdr:row>
          <xdr:rowOff>57150</xdr:rowOff>
        </xdr:to>
        <xdr:sp macro="" textlink="">
          <xdr:nvSpPr>
            <xdr:cNvPr id="55299" name="ScrollBar4" hidden="1">
              <a:extLst>
                <a:ext uri="{63B3BB69-23CF-44E3-9099-C40C66FF867C}">
                  <a14:compatExt spid="_x0000_s55299"/>
                </a:ext>
                <a:ext uri="{FF2B5EF4-FFF2-40B4-BE49-F238E27FC236}">
                  <a16:creationId xmlns:a16="http://schemas.microsoft.com/office/drawing/2014/main" id="{00000000-0008-0000-1D00-00000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25</xdr:row>
          <xdr:rowOff>19050</xdr:rowOff>
        </xdr:from>
        <xdr:to>
          <xdr:col>10</xdr:col>
          <xdr:colOff>590550</xdr:colOff>
          <xdr:row>26</xdr:row>
          <xdr:rowOff>76200</xdr:rowOff>
        </xdr:to>
        <xdr:sp macro="" textlink="">
          <xdr:nvSpPr>
            <xdr:cNvPr id="55300" name="ScrollBar5" hidden="1">
              <a:extLst>
                <a:ext uri="{63B3BB69-23CF-44E3-9099-C40C66FF867C}">
                  <a14:compatExt spid="_x0000_s55300"/>
                </a:ext>
                <a:ext uri="{FF2B5EF4-FFF2-40B4-BE49-F238E27FC236}">
                  <a16:creationId xmlns:a16="http://schemas.microsoft.com/office/drawing/2014/main" id="{00000000-0008-0000-1D00-00000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17993</xdr:colOff>
      <xdr:row>6</xdr:row>
      <xdr:rowOff>105833</xdr:rowOff>
    </xdr:from>
    <xdr:to>
      <xdr:col>12</xdr:col>
      <xdr:colOff>21167</xdr:colOff>
      <xdr:row>10</xdr:row>
      <xdr:rowOff>185208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7056968" y="1248833"/>
          <a:ext cx="1003299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Revenue/Patient</a:t>
          </a:r>
        </a:p>
      </xdr:txBody>
    </xdr:sp>
    <xdr:clientData/>
  </xdr:twoCellAnchor>
  <xdr:twoCellAnchor>
    <xdr:from>
      <xdr:col>12</xdr:col>
      <xdr:colOff>232834</xdr:colOff>
      <xdr:row>6</xdr:row>
      <xdr:rowOff>120649</xdr:rowOff>
    </xdr:from>
    <xdr:to>
      <xdr:col>14</xdr:col>
      <xdr:colOff>224366</xdr:colOff>
      <xdr:row>11</xdr:row>
      <xdr:rowOff>9524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8271934" y="1263649"/>
          <a:ext cx="905932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Revenue/Patient</a:t>
          </a:r>
        </a:p>
      </xdr:txBody>
    </xdr:sp>
    <xdr:clientData/>
  </xdr:twoCellAnchor>
  <xdr:twoCellAnchor>
    <xdr:from>
      <xdr:col>16</xdr:col>
      <xdr:colOff>21168</xdr:colOff>
      <xdr:row>6</xdr:row>
      <xdr:rowOff>114299</xdr:rowOff>
    </xdr:from>
    <xdr:to>
      <xdr:col>17</xdr:col>
      <xdr:colOff>550334</xdr:colOff>
      <xdr:row>10</xdr:row>
      <xdr:rowOff>158750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 txBox="1"/>
      </xdr:nvSpPr>
      <xdr:spPr>
        <a:xfrm>
          <a:off x="9327093" y="1257299"/>
          <a:ext cx="1138766" cy="80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</a:t>
          </a:r>
        </a:p>
      </xdr:txBody>
    </xdr:sp>
    <xdr:clientData/>
  </xdr:twoCellAnchor>
  <xdr:twoCellAnchor>
    <xdr:from>
      <xdr:col>7</xdr:col>
      <xdr:colOff>234950</xdr:colOff>
      <xdr:row>7</xdr:row>
      <xdr:rowOff>16933</xdr:rowOff>
    </xdr:from>
    <xdr:to>
      <xdr:col>10</xdr:col>
      <xdr:colOff>341842</xdr:colOff>
      <xdr:row>10</xdr:row>
      <xdr:rowOff>93133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 txBox="1"/>
      </xdr:nvSpPr>
      <xdr:spPr>
        <a:xfrm>
          <a:off x="4568825" y="1350433"/>
          <a:ext cx="2202392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Assumes Year End Convention</a:t>
          </a:r>
        </a:p>
      </xdr:txBody>
    </xdr:sp>
    <xdr:clientData/>
  </xdr:twoCellAnchor>
  <xdr:twoCellAnchor>
    <xdr:from>
      <xdr:col>5</xdr:col>
      <xdr:colOff>455085</xdr:colOff>
      <xdr:row>30</xdr:row>
      <xdr:rowOff>190499</xdr:rowOff>
    </xdr:from>
    <xdr:to>
      <xdr:col>8</xdr:col>
      <xdr:colOff>560919</xdr:colOff>
      <xdr:row>34</xdr:row>
      <xdr:rowOff>44449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 txBox="1"/>
      </xdr:nvSpPr>
      <xdr:spPr>
        <a:xfrm>
          <a:off x="3503085" y="5905499"/>
          <a:ext cx="2067984" cy="61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13</xdr:row>
          <xdr:rowOff>0</xdr:rowOff>
        </xdr:from>
        <xdr:to>
          <xdr:col>11</xdr:col>
          <xdr:colOff>1009650</xdr:colOff>
          <xdr:row>14</xdr:row>
          <xdr:rowOff>66675</xdr:rowOff>
        </xdr:to>
        <xdr:sp macro="" textlink="">
          <xdr:nvSpPr>
            <xdr:cNvPr id="55301" name="ScrollBar7" hidden="1">
              <a:extLst>
                <a:ext uri="{63B3BB69-23CF-44E3-9099-C40C66FF867C}">
                  <a14:compatExt spid="_x0000_s55301"/>
                </a:ext>
                <a:ext uri="{FF2B5EF4-FFF2-40B4-BE49-F238E27FC236}">
                  <a16:creationId xmlns:a16="http://schemas.microsoft.com/office/drawing/2014/main" id="{00000000-0008-0000-1D00-00000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19050</xdr:rowOff>
        </xdr:from>
        <xdr:to>
          <xdr:col>11</xdr:col>
          <xdr:colOff>1009650</xdr:colOff>
          <xdr:row>18</xdr:row>
          <xdr:rowOff>66675</xdr:rowOff>
        </xdr:to>
        <xdr:sp macro="" textlink="">
          <xdr:nvSpPr>
            <xdr:cNvPr id="55302" name="ScrollBar8" hidden="1">
              <a:extLst>
                <a:ext uri="{63B3BB69-23CF-44E3-9099-C40C66FF867C}">
                  <a14:compatExt spid="_x0000_s55302"/>
                </a:ext>
                <a:ext uri="{FF2B5EF4-FFF2-40B4-BE49-F238E27FC236}">
                  <a16:creationId xmlns:a16="http://schemas.microsoft.com/office/drawing/2014/main" id="{00000000-0008-0000-1D00-00000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19050</xdr:rowOff>
        </xdr:from>
        <xdr:to>
          <xdr:col>11</xdr:col>
          <xdr:colOff>1000125</xdr:colOff>
          <xdr:row>22</xdr:row>
          <xdr:rowOff>66675</xdr:rowOff>
        </xdr:to>
        <xdr:sp macro="" textlink="">
          <xdr:nvSpPr>
            <xdr:cNvPr id="55303" name="ScrollBar9" hidden="1">
              <a:extLst>
                <a:ext uri="{63B3BB69-23CF-44E3-9099-C40C66FF867C}">
                  <a14:compatExt spid="_x0000_s55303"/>
                </a:ext>
                <a:ext uri="{FF2B5EF4-FFF2-40B4-BE49-F238E27FC236}">
                  <a16:creationId xmlns:a16="http://schemas.microsoft.com/office/drawing/2014/main" id="{00000000-0008-0000-1D00-00000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25</xdr:row>
          <xdr:rowOff>19050</xdr:rowOff>
        </xdr:from>
        <xdr:to>
          <xdr:col>11</xdr:col>
          <xdr:colOff>981075</xdr:colOff>
          <xdr:row>26</xdr:row>
          <xdr:rowOff>76200</xdr:rowOff>
        </xdr:to>
        <xdr:sp macro="" textlink="">
          <xdr:nvSpPr>
            <xdr:cNvPr id="55304" name="ScrollBar10" hidden="1">
              <a:extLst>
                <a:ext uri="{63B3BB69-23CF-44E3-9099-C40C66FF867C}">
                  <a14:compatExt spid="_x0000_s55304"/>
                </a:ext>
                <a:ext uri="{FF2B5EF4-FFF2-40B4-BE49-F238E27FC236}">
                  <a16:creationId xmlns:a16="http://schemas.microsoft.com/office/drawing/2014/main" id="{00000000-0008-0000-1D00-00000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211667</xdr:colOff>
      <xdr:row>7</xdr:row>
      <xdr:rowOff>169333</xdr:rowOff>
    </xdr:from>
    <xdr:to>
      <xdr:col>5</xdr:col>
      <xdr:colOff>264584</xdr:colOff>
      <xdr:row>34</xdr:row>
      <xdr:rowOff>179917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CxnSpPr/>
      </xdr:nvCxnSpPr>
      <xdr:spPr>
        <a:xfrm flipH="1">
          <a:off x="3259667" y="1502833"/>
          <a:ext cx="52917" cy="51540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486835</xdr:colOff>
      <xdr:row>27</xdr:row>
      <xdr:rowOff>10584</xdr:rowOff>
    </xdr:from>
    <xdr:to>
      <xdr:col>8</xdr:col>
      <xdr:colOff>582083</xdr:colOff>
      <xdr:row>30</xdr:row>
      <xdr:rowOff>52917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SpPr txBox="1"/>
      </xdr:nvSpPr>
      <xdr:spPr>
        <a:xfrm>
          <a:off x="3534835" y="5154084"/>
          <a:ext cx="2057398" cy="613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Multiplier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9525</xdr:rowOff>
        </xdr:from>
        <xdr:to>
          <xdr:col>10</xdr:col>
          <xdr:colOff>600075</xdr:colOff>
          <xdr:row>30</xdr:row>
          <xdr:rowOff>57150</xdr:rowOff>
        </xdr:to>
        <xdr:sp macro="" textlink="">
          <xdr:nvSpPr>
            <xdr:cNvPr id="55305" name="ScrollBar11" hidden="1">
              <a:extLst>
                <a:ext uri="{63B3BB69-23CF-44E3-9099-C40C66FF867C}">
                  <a14:compatExt spid="_x0000_s55305"/>
                </a:ext>
                <a:ext uri="{FF2B5EF4-FFF2-40B4-BE49-F238E27FC236}">
                  <a16:creationId xmlns:a16="http://schemas.microsoft.com/office/drawing/2014/main" id="{00000000-0008-0000-1D00-00000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34</xdr:row>
      <xdr:rowOff>179917</xdr:rowOff>
    </xdr:from>
    <xdr:to>
      <xdr:col>18</xdr:col>
      <xdr:colOff>232833</xdr:colOff>
      <xdr:row>35</xdr:row>
      <xdr:rowOff>10583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CxnSpPr/>
      </xdr:nvCxnSpPr>
      <xdr:spPr>
        <a:xfrm flipV="1">
          <a:off x="0" y="6656917"/>
          <a:ext cx="10719858" cy="211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285752</xdr:colOff>
      <xdr:row>6</xdr:row>
      <xdr:rowOff>95250</xdr:rowOff>
    </xdr:from>
    <xdr:to>
      <xdr:col>23</xdr:col>
      <xdr:colOff>359835</xdr:colOff>
      <xdr:row>20</xdr:row>
      <xdr:rowOff>31750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10837335" y="1238250"/>
          <a:ext cx="3143250" cy="260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Lucida Bright" panose="02040602050505020304" pitchFamily="18" charset="0"/>
            </a:rPr>
            <a:t>What is it?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539750</xdr:colOff>
      <xdr:row>1</xdr:row>
      <xdr:rowOff>20106</xdr:rowOff>
    </xdr:from>
    <xdr:to>
      <xdr:col>3</xdr:col>
      <xdr:colOff>376765</xdr:colOff>
      <xdr:row>5</xdr:row>
      <xdr:rowOff>105833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149350" y="210606"/>
          <a:ext cx="1056215" cy="847727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99483</xdr:colOff>
      <xdr:row>54</xdr:row>
      <xdr:rowOff>29633</xdr:rowOff>
    </xdr:from>
    <xdr:to>
      <xdr:col>6</xdr:col>
      <xdr:colOff>51858</xdr:colOff>
      <xdr:row>59</xdr:row>
      <xdr:rowOff>167216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1928283" y="10316633"/>
          <a:ext cx="1847850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467784</xdr:colOff>
      <xdr:row>1</xdr:row>
      <xdr:rowOff>16933</xdr:rowOff>
    </xdr:from>
    <xdr:to>
      <xdr:col>23</xdr:col>
      <xdr:colOff>31750</xdr:colOff>
      <xdr:row>4</xdr:row>
      <xdr:rowOff>112184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3536951" y="207433"/>
          <a:ext cx="10115549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Outcomes: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Modified Market/</a:t>
          </a:r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Current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5</xdr:col>
      <xdr:colOff>523876</xdr:colOff>
      <xdr:row>11</xdr:row>
      <xdr:rowOff>9524</xdr:rowOff>
    </xdr:from>
    <xdr:to>
      <xdr:col>8</xdr:col>
      <xdr:colOff>600076</xdr:colOff>
      <xdr:row>14</xdr:row>
      <xdr:rowOff>57149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3571876" y="210502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</xdr:row>
          <xdr:rowOff>19050</xdr:rowOff>
        </xdr:from>
        <xdr:to>
          <xdr:col>10</xdr:col>
          <xdr:colOff>590550</xdr:colOff>
          <xdr:row>14</xdr:row>
          <xdr:rowOff>47625</xdr:rowOff>
        </xdr:to>
        <xdr:sp macro="" textlink="">
          <xdr:nvSpPr>
            <xdr:cNvPr id="54273" name="ScrollBar2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1E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504826</xdr:colOff>
      <xdr:row>14</xdr:row>
      <xdr:rowOff>180974</xdr:rowOff>
    </xdr:from>
    <xdr:to>
      <xdr:col>8</xdr:col>
      <xdr:colOff>581026</xdr:colOff>
      <xdr:row>18</xdr:row>
      <xdr:rowOff>38099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3552826" y="2847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2022</a:t>
          </a:r>
        </a:p>
      </xdr:txBody>
    </xdr:sp>
    <xdr:clientData/>
  </xdr:twoCellAnchor>
  <xdr:twoCellAnchor>
    <xdr:from>
      <xdr:col>5</xdr:col>
      <xdr:colOff>542926</xdr:colOff>
      <xdr:row>18</xdr:row>
      <xdr:rowOff>180974</xdr:rowOff>
    </xdr:from>
    <xdr:to>
      <xdr:col>9</xdr:col>
      <xdr:colOff>9526</xdr:colOff>
      <xdr:row>22</xdr:row>
      <xdr:rowOff>38099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3590926" y="3609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2023</a:t>
          </a:r>
        </a:p>
      </xdr:txBody>
    </xdr:sp>
    <xdr:clientData/>
  </xdr:twoCellAnchor>
  <xdr:twoCellAnchor>
    <xdr:from>
      <xdr:col>5</xdr:col>
      <xdr:colOff>542926</xdr:colOff>
      <xdr:row>22</xdr:row>
      <xdr:rowOff>190499</xdr:rowOff>
    </xdr:from>
    <xdr:to>
      <xdr:col>9</xdr:col>
      <xdr:colOff>9526</xdr:colOff>
      <xdr:row>26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3590926" y="4381499"/>
          <a:ext cx="2038350" cy="5715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16</xdr:row>
          <xdr:rowOff>180975</xdr:rowOff>
        </xdr:from>
        <xdr:to>
          <xdr:col>10</xdr:col>
          <xdr:colOff>590550</xdr:colOff>
          <xdr:row>18</xdr:row>
          <xdr:rowOff>57150</xdr:rowOff>
        </xdr:to>
        <xdr:sp macro="" textlink="">
          <xdr:nvSpPr>
            <xdr:cNvPr id="54274" name="ScrollBar3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1E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21</xdr:row>
          <xdr:rowOff>0</xdr:rowOff>
        </xdr:from>
        <xdr:to>
          <xdr:col>10</xdr:col>
          <xdr:colOff>590550</xdr:colOff>
          <xdr:row>22</xdr:row>
          <xdr:rowOff>57150</xdr:rowOff>
        </xdr:to>
        <xdr:sp macro="" textlink="">
          <xdr:nvSpPr>
            <xdr:cNvPr id="54275" name="ScrollBar4" hidden="1">
              <a:extLst>
                <a:ext uri="{63B3BB69-23CF-44E3-9099-C40C66FF867C}">
                  <a14:compatExt spid="_x0000_s54275"/>
                </a:ext>
                <a:ext uri="{FF2B5EF4-FFF2-40B4-BE49-F238E27FC236}">
                  <a16:creationId xmlns:a16="http://schemas.microsoft.com/office/drawing/2014/main" id="{00000000-0008-0000-1E00-00000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25</xdr:row>
          <xdr:rowOff>19050</xdr:rowOff>
        </xdr:from>
        <xdr:to>
          <xdr:col>10</xdr:col>
          <xdr:colOff>590550</xdr:colOff>
          <xdr:row>26</xdr:row>
          <xdr:rowOff>76200</xdr:rowOff>
        </xdr:to>
        <xdr:sp macro="" textlink="">
          <xdr:nvSpPr>
            <xdr:cNvPr id="54276" name="ScrollBar5" hidden="1">
              <a:extLst>
                <a:ext uri="{63B3BB69-23CF-44E3-9099-C40C66FF867C}">
                  <a14:compatExt spid="_x0000_s54276"/>
                </a:ext>
                <a:ext uri="{FF2B5EF4-FFF2-40B4-BE49-F238E27FC236}">
                  <a16:creationId xmlns:a16="http://schemas.microsoft.com/office/drawing/2014/main" id="{00000000-0008-0000-1E00-00000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17993</xdr:colOff>
      <xdr:row>6</xdr:row>
      <xdr:rowOff>105833</xdr:rowOff>
    </xdr:from>
    <xdr:to>
      <xdr:col>12</xdr:col>
      <xdr:colOff>21167</xdr:colOff>
      <xdr:row>10</xdr:row>
      <xdr:rowOff>185208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/>
      </xdr:nvSpPr>
      <xdr:spPr>
        <a:xfrm>
          <a:off x="7056968" y="1248833"/>
          <a:ext cx="1003299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Revenue/Patient</a:t>
          </a:r>
        </a:p>
      </xdr:txBody>
    </xdr:sp>
    <xdr:clientData/>
  </xdr:twoCellAnchor>
  <xdr:twoCellAnchor>
    <xdr:from>
      <xdr:col>12</xdr:col>
      <xdr:colOff>232834</xdr:colOff>
      <xdr:row>6</xdr:row>
      <xdr:rowOff>120649</xdr:rowOff>
    </xdr:from>
    <xdr:to>
      <xdr:col>14</xdr:col>
      <xdr:colOff>224366</xdr:colOff>
      <xdr:row>11</xdr:row>
      <xdr:rowOff>9524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SpPr txBox="1"/>
      </xdr:nvSpPr>
      <xdr:spPr>
        <a:xfrm>
          <a:off x="8271934" y="1263649"/>
          <a:ext cx="905932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Revenue/Patient</a:t>
          </a:r>
        </a:p>
      </xdr:txBody>
    </xdr:sp>
    <xdr:clientData/>
  </xdr:twoCellAnchor>
  <xdr:twoCellAnchor>
    <xdr:from>
      <xdr:col>16</xdr:col>
      <xdr:colOff>21168</xdr:colOff>
      <xdr:row>6</xdr:row>
      <xdr:rowOff>114299</xdr:rowOff>
    </xdr:from>
    <xdr:to>
      <xdr:col>17</xdr:col>
      <xdr:colOff>550334</xdr:colOff>
      <xdr:row>10</xdr:row>
      <xdr:rowOff>158750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9327093" y="1257299"/>
          <a:ext cx="1138766" cy="80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</a:t>
          </a:r>
        </a:p>
      </xdr:txBody>
    </xdr:sp>
    <xdr:clientData/>
  </xdr:twoCellAnchor>
  <xdr:twoCellAnchor>
    <xdr:from>
      <xdr:col>7</xdr:col>
      <xdr:colOff>234950</xdr:colOff>
      <xdr:row>7</xdr:row>
      <xdr:rowOff>16933</xdr:rowOff>
    </xdr:from>
    <xdr:to>
      <xdr:col>10</xdr:col>
      <xdr:colOff>341842</xdr:colOff>
      <xdr:row>10</xdr:row>
      <xdr:rowOff>93133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/>
      </xdr:nvSpPr>
      <xdr:spPr>
        <a:xfrm>
          <a:off x="4568825" y="1350433"/>
          <a:ext cx="2202392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Assumes Year End Convention</a:t>
          </a:r>
        </a:p>
      </xdr:txBody>
    </xdr:sp>
    <xdr:clientData/>
  </xdr:twoCellAnchor>
  <xdr:twoCellAnchor>
    <xdr:from>
      <xdr:col>5</xdr:col>
      <xdr:colOff>455085</xdr:colOff>
      <xdr:row>30</xdr:row>
      <xdr:rowOff>190499</xdr:rowOff>
    </xdr:from>
    <xdr:to>
      <xdr:col>8</xdr:col>
      <xdr:colOff>560919</xdr:colOff>
      <xdr:row>34</xdr:row>
      <xdr:rowOff>44449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3503085" y="5905499"/>
          <a:ext cx="2067984" cy="61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13</xdr:row>
          <xdr:rowOff>0</xdr:rowOff>
        </xdr:from>
        <xdr:to>
          <xdr:col>11</xdr:col>
          <xdr:colOff>1009650</xdr:colOff>
          <xdr:row>14</xdr:row>
          <xdr:rowOff>66675</xdr:rowOff>
        </xdr:to>
        <xdr:sp macro="" textlink="">
          <xdr:nvSpPr>
            <xdr:cNvPr id="54277" name="ScrollBar7" hidden="1">
              <a:extLst>
                <a:ext uri="{63B3BB69-23CF-44E3-9099-C40C66FF867C}">
                  <a14:compatExt spid="_x0000_s54277"/>
                </a:ext>
                <a:ext uri="{FF2B5EF4-FFF2-40B4-BE49-F238E27FC236}">
                  <a16:creationId xmlns:a16="http://schemas.microsoft.com/office/drawing/2014/main" id="{00000000-0008-0000-1E00-00000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19050</xdr:rowOff>
        </xdr:from>
        <xdr:to>
          <xdr:col>11</xdr:col>
          <xdr:colOff>1009650</xdr:colOff>
          <xdr:row>18</xdr:row>
          <xdr:rowOff>66675</xdr:rowOff>
        </xdr:to>
        <xdr:sp macro="" textlink="">
          <xdr:nvSpPr>
            <xdr:cNvPr id="54278" name="ScrollBar8" hidden="1">
              <a:extLst>
                <a:ext uri="{63B3BB69-23CF-44E3-9099-C40C66FF867C}">
                  <a14:compatExt spid="_x0000_s54278"/>
                </a:ext>
                <a:ext uri="{FF2B5EF4-FFF2-40B4-BE49-F238E27FC236}">
                  <a16:creationId xmlns:a16="http://schemas.microsoft.com/office/drawing/2014/main" id="{00000000-0008-0000-1E00-00000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19050</xdr:rowOff>
        </xdr:from>
        <xdr:to>
          <xdr:col>11</xdr:col>
          <xdr:colOff>1000125</xdr:colOff>
          <xdr:row>22</xdr:row>
          <xdr:rowOff>66675</xdr:rowOff>
        </xdr:to>
        <xdr:sp macro="" textlink="">
          <xdr:nvSpPr>
            <xdr:cNvPr id="54279" name="ScrollBar9" hidden="1">
              <a:extLst>
                <a:ext uri="{63B3BB69-23CF-44E3-9099-C40C66FF867C}">
                  <a14:compatExt spid="_x0000_s54279"/>
                </a:ext>
                <a:ext uri="{FF2B5EF4-FFF2-40B4-BE49-F238E27FC236}">
                  <a16:creationId xmlns:a16="http://schemas.microsoft.com/office/drawing/2014/main" id="{00000000-0008-0000-1E00-00000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25</xdr:row>
          <xdr:rowOff>19050</xdr:rowOff>
        </xdr:from>
        <xdr:to>
          <xdr:col>11</xdr:col>
          <xdr:colOff>981075</xdr:colOff>
          <xdr:row>26</xdr:row>
          <xdr:rowOff>76200</xdr:rowOff>
        </xdr:to>
        <xdr:sp macro="" textlink="">
          <xdr:nvSpPr>
            <xdr:cNvPr id="54280" name="ScrollBar10" hidden="1">
              <a:extLst>
                <a:ext uri="{63B3BB69-23CF-44E3-9099-C40C66FF867C}">
                  <a14:compatExt spid="_x0000_s54280"/>
                </a:ext>
                <a:ext uri="{FF2B5EF4-FFF2-40B4-BE49-F238E27FC236}">
                  <a16:creationId xmlns:a16="http://schemas.microsoft.com/office/drawing/2014/main" id="{00000000-0008-0000-1E00-00000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211667</xdr:colOff>
      <xdr:row>7</xdr:row>
      <xdr:rowOff>169333</xdr:rowOff>
    </xdr:from>
    <xdr:to>
      <xdr:col>5</xdr:col>
      <xdr:colOff>264584</xdr:colOff>
      <xdr:row>34</xdr:row>
      <xdr:rowOff>179917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CxnSpPr/>
      </xdr:nvCxnSpPr>
      <xdr:spPr>
        <a:xfrm flipH="1">
          <a:off x="3259667" y="1502833"/>
          <a:ext cx="52917" cy="51540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486835</xdr:colOff>
      <xdr:row>27</xdr:row>
      <xdr:rowOff>10584</xdr:rowOff>
    </xdr:from>
    <xdr:to>
      <xdr:col>8</xdr:col>
      <xdr:colOff>582083</xdr:colOff>
      <xdr:row>30</xdr:row>
      <xdr:rowOff>52917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SpPr txBox="1"/>
      </xdr:nvSpPr>
      <xdr:spPr>
        <a:xfrm>
          <a:off x="3534835" y="5154084"/>
          <a:ext cx="2057398" cy="613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Multiplier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9525</xdr:rowOff>
        </xdr:from>
        <xdr:to>
          <xdr:col>10</xdr:col>
          <xdr:colOff>600075</xdr:colOff>
          <xdr:row>30</xdr:row>
          <xdr:rowOff>57150</xdr:rowOff>
        </xdr:to>
        <xdr:sp macro="" textlink="">
          <xdr:nvSpPr>
            <xdr:cNvPr id="54281" name="ScrollBar11" hidden="1">
              <a:extLst>
                <a:ext uri="{63B3BB69-23CF-44E3-9099-C40C66FF867C}">
                  <a14:compatExt spid="_x0000_s54281"/>
                </a:ext>
                <a:ext uri="{FF2B5EF4-FFF2-40B4-BE49-F238E27FC236}">
                  <a16:creationId xmlns:a16="http://schemas.microsoft.com/office/drawing/2014/main" id="{00000000-0008-0000-1E00-00000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34</xdr:row>
      <xdr:rowOff>179917</xdr:rowOff>
    </xdr:from>
    <xdr:to>
      <xdr:col>18</xdr:col>
      <xdr:colOff>232833</xdr:colOff>
      <xdr:row>35</xdr:row>
      <xdr:rowOff>10583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CxnSpPr/>
      </xdr:nvCxnSpPr>
      <xdr:spPr>
        <a:xfrm flipV="1">
          <a:off x="0" y="6656917"/>
          <a:ext cx="10719858" cy="211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317500</xdr:colOff>
      <xdr:row>6</xdr:row>
      <xdr:rowOff>148167</xdr:rowOff>
    </xdr:from>
    <xdr:to>
      <xdr:col>23</xdr:col>
      <xdr:colOff>391583</xdr:colOff>
      <xdr:row>20</xdr:row>
      <xdr:rowOff>84667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 txBox="1"/>
      </xdr:nvSpPr>
      <xdr:spPr>
        <a:xfrm>
          <a:off x="10869083" y="1291167"/>
          <a:ext cx="3143250" cy="260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Lucida Bright" panose="02040602050505020304" pitchFamily="18" charset="0"/>
            </a:rPr>
            <a:t>What is it?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539750</xdr:colOff>
      <xdr:row>1</xdr:row>
      <xdr:rowOff>20106</xdr:rowOff>
    </xdr:from>
    <xdr:to>
      <xdr:col>3</xdr:col>
      <xdr:colOff>376765</xdr:colOff>
      <xdr:row>5</xdr:row>
      <xdr:rowOff>105833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149350" y="210606"/>
          <a:ext cx="1056215" cy="847727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99483</xdr:colOff>
      <xdr:row>54</xdr:row>
      <xdr:rowOff>29633</xdr:rowOff>
    </xdr:from>
    <xdr:to>
      <xdr:col>6</xdr:col>
      <xdr:colOff>51858</xdr:colOff>
      <xdr:row>59</xdr:row>
      <xdr:rowOff>167216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1928283" y="10316633"/>
          <a:ext cx="1847850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256117</xdr:colOff>
      <xdr:row>0</xdr:row>
      <xdr:rowOff>186267</xdr:rowOff>
    </xdr:from>
    <xdr:to>
      <xdr:col>21</xdr:col>
      <xdr:colOff>391583</xdr:colOff>
      <xdr:row>4</xdr:row>
      <xdr:rowOff>91018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/>
      </xdr:nvSpPr>
      <xdr:spPr>
        <a:xfrm>
          <a:off x="3325284" y="186267"/>
          <a:ext cx="9459382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Outcomes: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Current Market/Current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5</xdr:col>
      <xdr:colOff>523876</xdr:colOff>
      <xdr:row>11</xdr:row>
      <xdr:rowOff>9524</xdr:rowOff>
    </xdr:from>
    <xdr:to>
      <xdr:col>8</xdr:col>
      <xdr:colOff>600076</xdr:colOff>
      <xdr:row>14</xdr:row>
      <xdr:rowOff>57149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/>
      </xdr:nvSpPr>
      <xdr:spPr>
        <a:xfrm>
          <a:off x="3571876" y="210502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</xdr:row>
          <xdr:rowOff>19050</xdr:rowOff>
        </xdr:from>
        <xdr:to>
          <xdr:col>10</xdr:col>
          <xdr:colOff>590550</xdr:colOff>
          <xdr:row>14</xdr:row>
          <xdr:rowOff>47625</xdr:rowOff>
        </xdr:to>
        <xdr:sp macro="" textlink="">
          <xdr:nvSpPr>
            <xdr:cNvPr id="53249" name="ScrollBar2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1F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504826</xdr:colOff>
      <xdr:row>14</xdr:row>
      <xdr:rowOff>180974</xdr:rowOff>
    </xdr:from>
    <xdr:to>
      <xdr:col>8</xdr:col>
      <xdr:colOff>581026</xdr:colOff>
      <xdr:row>18</xdr:row>
      <xdr:rowOff>38099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3552826" y="2847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2022</a:t>
          </a:r>
        </a:p>
      </xdr:txBody>
    </xdr:sp>
    <xdr:clientData/>
  </xdr:twoCellAnchor>
  <xdr:twoCellAnchor>
    <xdr:from>
      <xdr:col>5</xdr:col>
      <xdr:colOff>542926</xdr:colOff>
      <xdr:row>18</xdr:row>
      <xdr:rowOff>180974</xdr:rowOff>
    </xdr:from>
    <xdr:to>
      <xdr:col>9</xdr:col>
      <xdr:colOff>9526</xdr:colOff>
      <xdr:row>22</xdr:row>
      <xdr:rowOff>38099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3590926" y="3609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2023</a:t>
          </a:r>
        </a:p>
      </xdr:txBody>
    </xdr:sp>
    <xdr:clientData/>
  </xdr:twoCellAnchor>
  <xdr:twoCellAnchor>
    <xdr:from>
      <xdr:col>5</xdr:col>
      <xdr:colOff>542926</xdr:colOff>
      <xdr:row>22</xdr:row>
      <xdr:rowOff>190499</xdr:rowOff>
    </xdr:from>
    <xdr:to>
      <xdr:col>9</xdr:col>
      <xdr:colOff>9526</xdr:colOff>
      <xdr:row>26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3590926" y="4381499"/>
          <a:ext cx="2038350" cy="5715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16</xdr:row>
          <xdr:rowOff>180975</xdr:rowOff>
        </xdr:from>
        <xdr:to>
          <xdr:col>10</xdr:col>
          <xdr:colOff>590550</xdr:colOff>
          <xdr:row>18</xdr:row>
          <xdr:rowOff>57150</xdr:rowOff>
        </xdr:to>
        <xdr:sp macro="" textlink="">
          <xdr:nvSpPr>
            <xdr:cNvPr id="53250" name="ScrollBar3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1F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21</xdr:row>
          <xdr:rowOff>0</xdr:rowOff>
        </xdr:from>
        <xdr:to>
          <xdr:col>10</xdr:col>
          <xdr:colOff>590550</xdr:colOff>
          <xdr:row>22</xdr:row>
          <xdr:rowOff>57150</xdr:rowOff>
        </xdr:to>
        <xdr:sp macro="" textlink="">
          <xdr:nvSpPr>
            <xdr:cNvPr id="53251" name="ScrollBar4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1F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25</xdr:row>
          <xdr:rowOff>19050</xdr:rowOff>
        </xdr:from>
        <xdr:to>
          <xdr:col>10</xdr:col>
          <xdr:colOff>590550</xdr:colOff>
          <xdr:row>26</xdr:row>
          <xdr:rowOff>76200</xdr:rowOff>
        </xdr:to>
        <xdr:sp macro="" textlink="">
          <xdr:nvSpPr>
            <xdr:cNvPr id="53252" name="ScrollBar5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1F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17993</xdr:colOff>
      <xdr:row>6</xdr:row>
      <xdr:rowOff>105833</xdr:rowOff>
    </xdr:from>
    <xdr:to>
      <xdr:col>12</xdr:col>
      <xdr:colOff>21167</xdr:colOff>
      <xdr:row>10</xdr:row>
      <xdr:rowOff>185208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7056968" y="1248833"/>
          <a:ext cx="1003299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Revenue/Patient</a:t>
          </a:r>
        </a:p>
      </xdr:txBody>
    </xdr:sp>
    <xdr:clientData/>
  </xdr:twoCellAnchor>
  <xdr:twoCellAnchor>
    <xdr:from>
      <xdr:col>12</xdr:col>
      <xdr:colOff>232834</xdr:colOff>
      <xdr:row>6</xdr:row>
      <xdr:rowOff>120649</xdr:rowOff>
    </xdr:from>
    <xdr:to>
      <xdr:col>14</xdr:col>
      <xdr:colOff>224366</xdr:colOff>
      <xdr:row>11</xdr:row>
      <xdr:rowOff>9524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/>
      </xdr:nvSpPr>
      <xdr:spPr>
        <a:xfrm>
          <a:off x="8271934" y="1263649"/>
          <a:ext cx="905932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Revenue/Patient</a:t>
          </a:r>
        </a:p>
      </xdr:txBody>
    </xdr:sp>
    <xdr:clientData/>
  </xdr:twoCellAnchor>
  <xdr:twoCellAnchor>
    <xdr:from>
      <xdr:col>16</xdr:col>
      <xdr:colOff>21168</xdr:colOff>
      <xdr:row>6</xdr:row>
      <xdr:rowOff>114299</xdr:rowOff>
    </xdr:from>
    <xdr:to>
      <xdr:col>17</xdr:col>
      <xdr:colOff>550334</xdr:colOff>
      <xdr:row>10</xdr:row>
      <xdr:rowOff>158750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9327093" y="1257299"/>
          <a:ext cx="1138766" cy="80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</a:t>
          </a:r>
        </a:p>
      </xdr:txBody>
    </xdr:sp>
    <xdr:clientData/>
  </xdr:twoCellAnchor>
  <xdr:twoCellAnchor>
    <xdr:from>
      <xdr:col>7</xdr:col>
      <xdr:colOff>234950</xdr:colOff>
      <xdr:row>7</xdr:row>
      <xdr:rowOff>16933</xdr:rowOff>
    </xdr:from>
    <xdr:to>
      <xdr:col>10</xdr:col>
      <xdr:colOff>341842</xdr:colOff>
      <xdr:row>10</xdr:row>
      <xdr:rowOff>93133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4568825" y="1350433"/>
          <a:ext cx="2202392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Assumes Year End Convention</a:t>
          </a:r>
        </a:p>
      </xdr:txBody>
    </xdr:sp>
    <xdr:clientData/>
  </xdr:twoCellAnchor>
  <xdr:twoCellAnchor>
    <xdr:from>
      <xdr:col>5</xdr:col>
      <xdr:colOff>455085</xdr:colOff>
      <xdr:row>30</xdr:row>
      <xdr:rowOff>190499</xdr:rowOff>
    </xdr:from>
    <xdr:to>
      <xdr:col>8</xdr:col>
      <xdr:colOff>560919</xdr:colOff>
      <xdr:row>34</xdr:row>
      <xdr:rowOff>44449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/>
      </xdr:nvSpPr>
      <xdr:spPr>
        <a:xfrm>
          <a:off x="3503085" y="5905499"/>
          <a:ext cx="2067984" cy="61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13</xdr:row>
          <xdr:rowOff>0</xdr:rowOff>
        </xdr:from>
        <xdr:to>
          <xdr:col>11</xdr:col>
          <xdr:colOff>1009650</xdr:colOff>
          <xdr:row>14</xdr:row>
          <xdr:rowOff>66675</xdr:rowOff>
        </xdr:to>
        <xdr:sp macro="" textlink="">
          <xdr:nvSpPr>
            <xdr:cNvPr id="53253" name="ScrollBar7" hidden="1">
              <a:extLst>
                <a:ext uri="{63B3BB69-23CF-44E3-9099-C40C66FF867C}">
                  <a14:compatExt spid="_x0000_s53253"/>
                </a:ext>
                <a:ext uri="{FF2B5EF4-FFF2-40B4-BE49-F238E27FC236}">
                  <a16:creationId xmlns:a16="http://schemas.microsoft.com/office/drawing/2014/main" id="{00000000-0008-0000-1F00-00000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19050</xdr:rowOff>
        </xdr:from>
        <xdr:to>
          <xdr:col>11</xdr:col>
          <xdr:colOff>1009650</xdr:colOff>
          <xdr:row>18</xdr:row>
          <xdr:rowOff>66675</xdr:rowOff>
        </xdr:to>
        <xdr:sp macro="" textlink="">
          <xdr:nvSpPr>
            <xdr:cNvPr id="53254" name="ScrollBar8" hidden="1">
              <a:extLst>
                <a:ext uri="{63B3BB69-23CF-44E3-9099-C40C66FF867C}">
                  <a14:compatExt spid="_x0000_s53254"/>
                </a:ext>
                <a:ext uri="{FF2B5EF4-FFF2-40B4-BE49-F238E27FC236}">
                  <a16:creationId xmlns:a16="http://schemas.microsoft.com/office/drawing/2014/main" id="{00000000-0008-0000-1F00-00000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19050</xdr:rowOff>
        </xdr:from>
        <xdr:to>
          <xdr:col>11</xdr:col>
          <xdr:colOff>1000125</xdr:colOff>
          <xdr:row>22</xdr:row>
          <xdr:rowOff>66675</xdr:rowOff>
        </xdr:to>
        <xdr:sp macro="" textlink="">
          <xdr:nvSpPr>
            <xdr:cNvPr id="53255" name="ScrollBar9" hidden="1">
              <a:extLst>
                <a:ext uri="{63B3BB69-23CF-44E3-9099-C40C66FF867C}">
                  <a14:compatExt spid="_x0000_s53255"/>
                </a:ext>
                <a:ext uri="{FF2B5EF4-FFF2-40B4-BE49-F238E27FC236}">
                  <a16:creationId xmlns:a16="http://schemas.microsoft.com/office/drawing/2014/main" id="{00000000-0008-0000-1F00-00000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25</xdr:row>
          <xdr:rowOff>19050</xdr:rowOff>
        </xdr:from>
        <xdr:to>
          <xdr:col>11</xdr:col>
          <xdr:colOff>981075</xdr:colOff>
          <xdr:row>26</xdr:row>
          <xdr:rowOff>76200</xdr:rowOff>
        </xdr:to>
        <xdr:sp macro="" textlink="">
          <xdr:nvSpPr>
            <xdr:cNvPr id="53256" name="ScrollBar10" hidden="1">
              <a:extLst>
                <a:ext uri="{63B3BB69-23CF-44E3-9099-C40C66FF867C}">
                  <a14:compatExt spid="_x0000_s53256"/>
                </a:ext>
                <a:ext uri="{FF2B5EF4-FFF2-40B4-BE49-F238E27FC236}">
                  <a16:creationId xmlns:a16="http://schemas.microsoft.com/office/drawing/2014/main" id="{00000000-0008-0000-1F00-00000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211667</xdr:colOff>
      <xdr:row>7</xdr:row>
      <xdr:rowOff>169333</xdr:rowOff>
    </xdr:from>
    <xdr:to>
      <xdr:col>5</xdr:col>
      <xdr:colOff>264584</xdr:colOff>
      <xdr:row>34</xdr:row>
      <xdr:rowOff>179917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CxnSpPr/>
      </xdr:nvCxnSpPr>
      <xdr:spPr>
        <a:xfrm flipH="1">
          <a:off x="3259667" y="1502833"/>
          <a:ext cx="52917" cy="51540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486835</xdr:colOff>
      <xdr:row>27</xdr:row>
      <xdr:rowOff>10584</xdr:rowOff>
    </xdr:from>
    <xdr:to>
      <xdr:col>8</xdr:col>
      <xdr:colOff>582083</xdr:colOff>
      <xdr:row>30</xdr:row>
      <xdr:rowOff>52917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 txBox="1"/>
      </xdr:nvSpPr>
      <xdr:spPr>
        <a:xfrm>
          <a:off x="3534835" y="5154084"/>
          <a:ext cx="2057398" cy="613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Multiplier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9525</xdr:rowOff>
        </xdr:from>
        <xdr:to>
          <xdr:col>10</xdr:col>
          <xdr:colOff>600075</xdr:colOff>
          <xdr:row>30</xdr:row>
          <xdr:rowOff>57150</xdr:rowOff>
        </xdr:to>
        <xdr:sp macro="" textlink="">
          <xdr:nvSpPr>
            <xdr:cNvPr id="53257" name="ScrollBar11" hidden="1">
              <a:extLst>
                <a:ext uri="{63B3BB69-23CF-44E3-9099-C40C66FF867C}">
                  <a14:compatExt spid="_x0000_s53257"/>
                </a:ext>
                <a:ext uri="{FF2B5EF4-FFF2-40B4-BE49-F238E27FC236}">
                  <a16:creationId xmlns:a16="http://schemas.microsoft.com/office/drawing/2014/main" id="{00000000-0008-0000-1F00-00000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34</xdr:row>
      <xdr:rowOff>179917</xdr:rowOff>
    </xdr:from>
    <xdr:to>
      <xdr:col>18</xdr:col>
      <xdr:colOff>232833</xdr:colOff>
      <xdr:row>35</xdr:row>
      <xdr:rowOff>10583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CxnSpPr/>
      </xdr:nvCxnSpPr>
      <xdr:spPr>
        <a:xfrm flipV="1">
          <a:off x="0" y="6656917"/>
          <a:ext cx="10719858" cy="211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338667</xdr:colOff>
      <xdr:row>6</xdr:row>
      <xdr:rowOff>137583</xdr:rowOff>
    </xdr:from>
    <xdr:to>
      <xdr:col>23</xdr:col>
      <xdr:colOff>412750</xdr:colOff>
      <xdr:row>20</xdr:row>
      <xdr:rowOff>74083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 txBox="1"/>
      </xdr:nvSpPr>
      <xdr:spPr>
        <a:xfrm>
          <a:off x="10890250" y="1280583"/>
          <a:ext cx="3143250" cy="260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Lucida Bright" panose="02040602050505020304" pitchFamily="18" charset="0"/>
            </a:rPr>
            <a:t>What is it?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539750</xdr:colOff>
      <xdr:row>1</xdr:row>
      <xdr:rowOff>20106</xdr:rowOff>
    </xdr:from>
    <xdr:to>
      <xdr:col>3</xdr:col>
      <xdr:colOff>376765</xdr:colOff>
      <xdr:row>5</xdr:row>
      <xdr:rowOff>105833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153583" y="210606"/>
          <a:ext cx="1064682" cy="847727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99483</xdr:colOff>
      <xdr:row>54</xdr:row>
      <xdr:rowOff>29633</xdr:rowOff>
    </xdr:from>
    <xdr:to>
      <xdr:col>6</xdr:col>
      <xdr:colOff>51858</xdr:colOff>
      <xdr:row>59</xdr:row>
      <xdr:rowOff>167216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4396316" y="10316633"/>
          <a:ext cx="18573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467784</xdr:colOff>
      <xdr:row>1</xdr:row>
      <xdr:rowOff>16933</xdr:rowOff>
    </xdr:from>
    <xdr:to>
      <xdr:col>22</xdr:col>
      <xdr:colOff>211666</xdr:colOff>
      <xdr:row>4</xdr:row>
      <xdr:rowOff>112184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/>
      </xdr:nvSpPr>
      <xdr:spPr>
        <a:xfrm>
          <a:off x="3536951" y="207433"/>
          <a:ext cx="9681632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Outcomes: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Modified Market</a:t>
          </a:r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/Modified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5</xdr:col>
      <xdr:colOff>523876</xdr:colOff>
      <xdr:row>11</xdr:row>
      <xdr:rowOff>9524</xdr:rowOff>
    </xdr:from>
    <xdr:to>
      <xdr:col>8</xdr:col>
      <xdr:colOff>600076</xdr:colOff>
      <xdr:row>14</xdr:row>
      <xdr:rowOff>57149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6010276" y="210502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</xdr:row>
          <xdr:rowOff>19050</xdr:rowOff>
        </xdr:from>
        <xdr:to>
          <xdr:col>10</xdr:col>
          <xdr:colOff>590550</xdr:colOff>
          <xdr:row>14</xdr:row>
          <xdr:rowOff>47625</xdr:rowOff>
        </xdr:to>
        <xdr:sp macro="" textlink="">
          <xdr:nvSpPr>
            <xdr:cNvPr id="52226" name="ScrollBar2" hidden="1">
              <a:extLst>
                <a:ext uri="{63B3BB69-23CF-44E3-9099-C40C66FF867C}">
                  <a14:compatExt spid="_x0000_s52226"/>
                </a:ext>
                <a:ext uri="{FF2B5EF4-FFF2-40B4-BE49-F238E27FC236}">
                  <a16:creationId xmlns:a16="http://schemas.microsoft.com/office/drawing/2014/main" id="{00000000-0008-0000-2000-00000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504826</xdr:colOff>
      <xdr:row>14</xdr:row>
      <xdr:rowOff>180974</xdr:rowOff>
    </xdr:from>
    <xdr:to>
      <xdr:col>8</xdr:col>
      <xdr:colOff>581026</xdr:colOff>
      <xdr:row>18</xdr:row>
      <xdr:rowOff>38099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5991226" y="2847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2022</a:t>
          </a:r>
        </a:p>
      </xdr:txBody>
    </xdr:sp>
    <xdr:clientData/>
  </xdr:twoCellAnchor>
  <xdr:twoCellAnchor>
    <xdr:from>
      <xdr:col>5</xdr:col>
      <xdr:colOff>542926</xdr:colOff>
      <xdr:row>18</xdr:row>
      <xdr:rowOff>180974</xdr:rowOff>
    </xdr:from>
    <xdr:to>
      <xdr:col>9</xdr:col>
      <xdr:colOff>9526</xdr:colOff>
      <xdr:row>22</xdr:row>
      <xdr:rowOff>38099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6029326" y="3609974"/>
          <a:ext cx="20383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2023</a:t>
          </a:r>
        </a:p>
      </xdr:txBody>
    </xdr:sp>
    <xdr:clientData/>
  </xdr:twoCellAnchor>
  <xdr:twoCellAnchor>
    <xdr:from>
      <xdr:col>5</xdr:col>
      <xdr:colOff>542926</xdr:colOff>
      <xdr:row>22</xdr:row>
      <xdr:rowOff>190499</xdr:rowOff>
    </xdr:from>
    <xdr:to>
      <xdr:col>9</xdr:col>
      <xdr:colOff>9526</xdr:colOff>
      <xdr:row>26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6029326" y="4381499"/>
          <a:ext cx="2038350" cy="5715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Patients YE 2024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16</xdr:row>
          <xdr:rowOff>180975</xdr:rowOff>
        </xdr:from>
        <xdr:to>
          <xdr:col>10</xdr:col>
          <xdr:colOff>590550</xdr:colOff>
          <xdr:row>18</xdr:row>
          <xdr:rowOff>57150</xdr:rowOff>
        </xdr:to>
        <xdr:sp macro="" textlink="">
          <xdr:nvSpPr>
            <xdr:cNvPr id="52227" name="ScrollBar3" hidden="1">
              <a:extLst>
                <a:ext uri="{63B3BB69-23CF-44E3-9099-C40C66FF867C}">
                  <a14:compatExt spid="_x0000_s52227"/>
                </a:ext>
                <a:ext uri="{FF2B5EF4-FFF2-40B4-BE49-F238E27FC236}">
                  <a16:creationId xmlns:a16="http://schemas.microsoft.com/office/drawing/2014/main" id="{00000000-0008-0000-2000-00000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21</xdr:row>
          <xdr:rowOff>0</xdr:rowOff>
        </xdr:from>
        <xdr:to>
          <xdr:col>10</xdr:col>
          <xdr:colOff>590550</xdr:colOff>
          <xdr:row>22</xdr:row>
          <xdr:rowOff>57150</xdr:rowOff>
        </xdr:to>
        <xdr:sp macro="" textlink="">
          <xdr:nvSpPr>
            <xdr:cNvPr id="52228" name="ScrollBar4" hidden="1">
              <a:extLst>
                <a:ext uri="{63B3BB69-23CF-44E3-9099-C40C66FF867C}">
                  <a14:compatExt spid="_x0000_s52228"/>
                </a:ext>
                <a:ext uri="{FF2B5EF4-FFF2-40B4-BE49-F238E27FC236}">
                  <a16:creationId xmlns:a16="http://schemas.microsoft.com/office/drawing/2014/main" id="{00000000-0008-0000-2000-00000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25</xdr:row>
          <xdr:rowOff>19050</xdr:rowOff>
        </xdr:from>
        <xdr:to>
          <xdr:col>10</xdr:col>
          <xdr:colOff>590550</xdr:colOff>
          <xdr:row>26</xdr:row>
          <xdr:rowOff>76200</xdr:rowOff>
        </xdr:to>
        <xdr:sp macro="" textlink="">
          <xdr:nvSpPr>
            <xdr:cNvPr id="52229" name="ScrollBar5" hidden="1">
              <a:extLst>
                <a:ext uri="{63B3BB69-23CF-44E3-9099-C40C66FF867C}">
                  <a14:compatExt spid="_x0000_s52229"/>
                </a:ext>
                <a:ext uri="{FF2B5EF4-FFF2-40B4-BE49-F238E27FC236}">
                  <a16:creationId xmlns:a16="http://schemas.microsoft.com/office/drawing/2014/main" id="{00000000-0008-0000-2000-00000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17993</xdr:colOff>
      <xdr:row>6</xdr:row>
      <xdr:rowOff>105833</xdr:rowOff>
    </xdr:from>
    <xdr:to>
      <xdr:col>12</xdr:col>
      <xdr:colOff>21167</xdr:colOff>
      <xdr:row>10</xdr:row>
      <xdr:rowOff>185208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9495368" y="1248833"/>
          <a:ext cx="1003299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Monthly Revenue/Patient</a:t>
          </a:r>
        </a:p>
      </xdr:txBody>
    </xdr:sp>
    <xdr:clientData/>
  </xdr:twoCellAnchor>
  <xdr:twoCellAnchor>
    <xdr:from>
      <xdr:col>12</xdr:col>
      <xdr:colOff>232834</xdr:colOff>
      <xdr:row>6</xdr:row>
      <xdr:rowOff>120649</xdr:rowOff>
    </xdr:from>
    <xdr:to>
      <xdr:col>14</xdr:col>
      <xdr:colOff>224366</xdr:colOff>
      <xdr:row>11</xdr:row>
      <xdr:rowOff>9524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/>
      </xdr:nvSpPr>
      <xdr:spPr>
        <a:xfrm>
          <a:off x="10710334" y="1263649"/>
          <a:ext cx="905932" cy="841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Revenue/Patient</a:t>
          </a:r>
        </a:p>
      </xdr:txBody>
    </xdr:sp>
    <xdr:clientData/>
  </xdr:twoCellAnchor>
  <xdr:twoCellAnchor>
    <xdr:from>
      <xdr:col>16</xdr:col>
      <xdr:colOff>21168</xdr:colOff>
      <xdr:row>6</xdr:row>
      <xdr:rowOff>114299</xdr:rowOff>
    </xdr:from>
    <xdr:to>
      <xdr:col>17</xdr:col>
      <xdr:colOff>550334</xdr:colOff>
      <xdr:row>10</xdr:row>
      <xdr:rowOff>158750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 txBox="1"/>
      </xdr:nvSpPr>
      <xdr:spPr>
        <a:xfrm>
          <a:off x="11765493" y="1257299"/>
          <a:ext cx="1138766" cy="8064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Yearly Revenue</a:t>
          </a:r>
        </a:p>
      </xdr:txBody>
    </xdr:sp>
    <xdr:clientData/>
  </xdr:twoCellAnchor>
  <xdr:twoCellAnchor>
    <xdr:from>
      <xdr:col>7</xdr:col>
      <xdr:colOff>234950</xdr:colOff>
      <xdr:row>7</xdr:row>
      <xdr:rowOff>16933</xdr:rowOff>
    </xdr:from>
    <xdr:to>
      <xdr:col>10</xdr:col>
      <xdr:colOff>341842</xdr:colOff>
      <xdr:row>10</xdr:row>
      <xdr:rowOff>93133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 txBox="1"/>
      </xdr:nvSpPr>
      <xdr:spPr>
        <a:xfrm>
          <a:off x="7007225" y="1350433"/>
          <a:ext cx="2202392" cy="647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Assumes Year End Convention</a:t>
          </a:r>
        </a:p>
      </xdr:txBody>
    </xdr:sp>
    <xdr:clientData/>
  </xdr:twoCellAnchor>
  <xdr:twoCellAnchor>
    <xdr:from>
      <xdr:col>5</xdr:col>
      <xdr:colOff>455085</xdr:colOff>
      <xdr:row>30</xdr:row>
      <xdr:rowOff>190499</xdr:rowOff>
    </xdr:from>
    <xdr:to>
      <xdr:col>8</xdr:col>
      <xdr:colOff>560919</xdr:colOff>
      <xdr:row>34</xdr:row>
      <xdr:rowOff>44449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 txBox="1"/>
      </xdr:nvSpPr>
      <xdr:spPr>
        <a:xfrm>
          <a:off x="5941485" y="5905499"/>
          <a:ext cx="2067984" cy="61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Resulting Valuation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13</xdr:row>
          <xdr:rowOff>0</xdr:rowOff>
        </xdr:from>
        <xdr:to>
          <xdr:col>11</xdr:col>
          <xdr:colOff>1009650</xdr:colOff>
          <xdr:row>14</xdr:row>
          <xdr:rowOff>66675</xdr:rowOff>
        </xdr:to>
        <xdr:sp macro="" textlink="">
          <xdr:nvSpPr>
            <xdr:cNvPr id="52231" name="ScrollBar7" hidden="1">
              <a:extLst>
                <a:ext uri="{63B3BB69-23CF-44E3-9099-C40C66FF867C}">
                  <a14:compatExt spid="_x0000_s52231"/>
                </a:ext>
                <a:ext uri="{FF2B5EF4-FFF2-40B4-BE49-F238E27FC236}">
                  <a16:creationId xmlns:a16="http://schemas.microsoft.com/office/drawing/2014/main" id="{00000000-0008-0000-2000-00000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17</xdr:row>
          <xdr:rowOff>19050</xdr:rowOff>
        </xdr:from>
        <xdr:to>
          <xdr:col>11</xdr:col>
          <xdr:colOff>1009650</xdr:colOff>
          <xdr:row>18</xdr:row>
          <xdr:rowOff>66675</xdr:rowOff>
        </xdr:to>
        <xdr:sp macro="" textlink="">
          <xdr:nvSpPr>
            <xdr:cNvPr id="52232" name="ScrollBar8" hidden="1">
              <a:extLst>
                <a:ext uri="{63B3BB69-23CF-44E3-9099-C40C66FF867C}">
                  <a14:compatExt spid="_x0000_s52232"/>
                </a:ext>
                <a:ext uri="{FF2B5EF4-FFF2-40B4-BE49-F238E27FC236}">
                  <a16:creationId xmlns:a16="http://schemas.microsoft.com/office/drawing/2014/main" id="{00000000-0008-0000-2000-00000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21</xdr:row>
          <xdr:rowOff>19050</xdr:rowOff>
        </xdr:from>
        <xdr:to>
          <xdr:col>11</xdr:col>
          <xdr:colOff>1000125</xdr:colOff>
          <xdr:row>22</xdr:row>
          <xdr:rowOff>66675</xdr:rowOff>
        </xdr:to>
        <xdr:sp macro="" textlink="">
          <xdr:nvSpPr>
            <xdr:cNvPr id="52233" name="ScrollBar9" hidden="1">
              <a:extLst>
                <a:ext uri="{63B3BB69-23CF-44E3-9099-C40C66FF867C}">
                  <a14:compatExt spid="_x0000_s52233"/>
                </a:ext>
                <a:ext uri="{FF2B5EF4-FFF2-40B4-BE49-F238E27FC236}">
                  <a16:creationId xmlns:a16="http://schemas.microsoft.com/office/drawing/2014/main" id="{00000000-0008-0000-2000-00000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25</xdr:row>
          <xdr:rowOff>19050</xdr:rowOff>
        </xdr:from>
        <xdr:to>
          <xdr:col>11</xdr:col>
          <xdr:colOff>981075</xdr:colOff>
          <xdr:row>26</xdr:row>
          <xdr:rowOff>76200</xdr:rowOff>
        </xdr:to>
        <xdr:sp macro="" textlink="">
          <xdr:nvSpPr>
            <xdr:cNvPr id="52234" name="ScrollBar10" hidden="1">
              <a:extLst>
                <a:ext uri="{63B3BB69-23CF-44E3-9099-C40C66FF867C}">
                  <a14:compatExt spid="_x0000_s52234"/>
                </a:ext>
                <a:ext uri="{FF2B5EF4-FFF2-40B4-BE49-F238E27FC236}">
                  <a16:creationId xmlns:a16="http://schemas.microsoft.com/office/drawing/2014/main" id="{00000000-0008-0000-2000-00000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211667</xdr:colOff>
      <xdr:row>7</xdr:row>
      <xdr:rowOff>169333</xdr:rowOff>
    </xdr:from>
    <xdr:to>
      <xdr:col>5</xdr:col>
      <xdr:colOff>264584</xdr:colOff>
      <xdr:row>34</xdr:row>
      <xdr:rowOff>179917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CxnSpPr/>
      </xdr:nvCxnSpPr>
      <xdr:spPr>
        <a:xfrm flipH="1">
          <a:off x="5698067" y="1502833"/>
          <a:ext cx="52917" cy="51540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486835</xdr:colOff>
      <xdr:row>27</xdr:row>
      <xdr:rowOff>10584</xdr:rowOff>
    </xdr:from>
    <xdr:to>
      <xdr:col>8</xdr:col>
      <xdr:colOff>582083</xdr:colOff>
      <xdr:row>30</xdr:row>
      <xdr:rowOff>52917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 txBox="1"/>
      </xdr:nvSpPr>
      <xdr:spPr>
        <a:xfrm>
          <a:off x="5973235" y="5154084"/>
          <a:ext cx="2057398" cy="6138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Revenue Multiplier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9525</xdr:rowOff>
        </xdr:from>
        <xdr:to>
          <xdr:col>10</xdr:col>
          <xdr:colOff>600075</xdr:colOff>
          <xdr:row>30</xdr:row>
          <xdr:rowOff>57150</xdr:rowOff>
        </xdr:to>
        <xdr:sp macro="" textlink="">
          <xdr:nvSpPr>
            <xdr:cNvPr id="52235" name="ScrollBar11" hidden="1">
              <a:extLst>
                <a:ext uri="{63B3BB69-23CF-44E3-9099-C40C66FF867C}">
                  <a14:compatExt spid="_x0000_s52235"/>
                </a:ext>
                <a:ext uri="{FF2B5EF4-FFF2-40B4-BE49-F238E27FC236}">
                  <a16:creationId xmlns:a16="http://schemas.microsoft.com/office/drawing/2014/main" id="{00000000-0008-0000-2000-00000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34</xdr:row>
      <xdr:rowOff>179917</xdr:rowOff>
    </xdr:from>
    <xdr:to>
      <xdr:col>18</xdr:col>
      <xdr:colOff>232833</xdr:colOff>
      <xdr:row>35</xdr:row>
      <xdr:rowOff>10583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00000000-0008-0000-2000-000026000000}"/>
            </a:ext>
          </a:extLst>
        </xdr:cNvPr>
        <xdr:cNvCxnSpPr/>
      </xdr:nvCxnSpPr>
      <xdr:spPr>
        <a:xfrm flipV="1">
          <a:off x="1828800" y="6656917"/>
          <a:ext cx="11329458" cy="211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296334</xdr:colOff>
      <xdr:row>6</xdr:row>
      <xdr:rowOff>127000</xdr:rowOff>
    </xdr:from>
    <xdr:to>
      <xdr:col>23</xdr:col>
      <xdr:colOff>370417</xdr:colOff>
      <xdr:row>20</xdr:row>
      <xdr:rowOff>63500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2000-000027000000}"/>
            </a:ext>
          </a:extLst>
        </xdr:cNvPr>
        <xdr:cNvSpPr txBox="1"/>
      </xdr:nvSpPr>
      <xdr:spPr>
        <a:xfrm>
          <a:off x="10847917" y="1270000"/>
          <a:ext cx="3143250" cy="2603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Lucida Bright" panose="02040602050505020304" pitchFamily="18" charset="0"/>
            </a:rPr>
            <a:t>What is it?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292101</xdr:colOff>
      <xdr:row>6</xdr:row>
      <xdr:rowOff>65614</xdr:rowOff>
    </xdr:from>
    <xdr:to>
      <xdr:col>15</xdr:col>
      <xdr:colOff>377827</xdr:colOff>
      <xdr:row>23</xdr:row>
      <xdr:rowOff>10583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3361268" y="1208614"/>
          <a:ext cx="6552142" cy="3183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HC target is to rise $10 million in capital to fuel scale.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Investors objectives are to receive a 10 x return at exit.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Projected exit is at the end of 2024. 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For the purposes of this model the exit is at the end of the 3 year period.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Valuation approach: Revenue multiplier (10 x)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All profits will be re-invested to facilitate growth</a:t>
          </a:r>
        </a:p>
        <a:p>
          <a:endParaRPr lang="en-US" sz="1400" baseline="0">
            <a:latin typeface="Lucida Bright" panose="02040602050505020304" pitchFamily="18" charset="0"/>
          </a:endParaRPr>
        </a:p>
        <a:p>
          <a:r>
            <a:rPr lang="en-US" sz="1400" baseline="0">
              <a:latin typeface="Lucida Bright" panose="02040602050505020304" pitchFamily="18" charset="0"/>
            </a:rPr>
            <a:t>Maximum acceptable hit to equity: 10%</a:t>
          </a: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0</xdr:col>
      <xdr:colOff>285750</xdr:colOff>
      <xdr:row>0</xdr:row>
      <xdr:rowOff>104773</xdr:rowOff>
    </xdr:from>
    <xdr:to>
      <xdr:col>2</xdr:col>
      <xdr:colOff>296333</xdr:colOff>
      <xdr:row>5</xdr:row>
      <xdr:rowOff>85725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285750" y="104773"/>
          <a:ext cx="1238250" cy="933452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0</xdr:col>
      <xdr:colOff>480483</xdr:colOff>
      <xdr:row>77</xdr:row>
      <xdr:rowOff>40216</xdr:rowOff>
    </xdr:from>
    <xdr:to>
      <xdr:col>6</xdr:col>
      <xdr:colOff>496358</xdr:colOff>
      <xdr:row>82</xdr:row>
      <xdr:rowOff>177799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480483" y="14708716"/>
          <a:ext cx="18573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7</xdr:col>
      <xdr:colOff>76200</xdr:colOff>
      <xdr:row>0</xdr:row>
      <xdr:rowOff>143933</xdr:rowOff>
    </xdr:from>
    <xdr:to>
      <xdr:col>15</xdr:col>
      <xdr:colOff>465667</xdr:colOff>
      <xdr:row>4</xdr:row>
      <xdr:rowOff>48684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4373033" y="143933"/>
          <a:ext cx="5628217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1. </a:t>
          </a:r>
          <a:r>
            <a:rPr lang="en-US" sz="3200">
              <a:solidFill>
                <a:srgbClr val="002060"/>
              </a:solidFill>
              <a:latin typeface="Lucida Bright" panose="02040602050505020304" pitchFamily="18" charset="0"/>
            </a:rPr>
            <a:t>Series A </a:t>
          </a:r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Targets</a:t>
          </a:r>
        </a:p>
      </xdr:txBody>
    </xdr:sp>
    <xdr:clientData/>
  </xdr:twoCellAnchor>
  <xdr:twoCellAnchor>
    <xdr:from>
      <xdr:col>0</xdr:col>
      <xdr:colOff>508001</xdr:colOff>
      <xdr:row>60</xdr:row>
      <xdr:rowOff>179917</xdr:rowOff>
    </xdr:from>
    <xdr:to>
      <xdr:col>7</xdr:col>
      <xdr:colOff>218019</xdr:colOff>
      <xdr:row>63</xdr:row>
      <xdr:rowOff>186268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2100-000033000000}"/>
            </a:ext>
          </a:extLst>
        </xdr:cNvPr>
        <xdr:cNvSpPr txBox="1"/>
      </xdr:nvSpPr>
      <xdr:spPr>
        <a:xfrm>
          <a:off x="508001" y="11609917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Concurent Accounts/Salesperson</a:t>
          </a:r>
        </a:p>
      </xdr:txBody>
    </xdr:sp>
    <xdr:clientData/>
  </xdr:twoCellAnchor>
  <xdr:twoCellAnchor>
    <xdr:from>
      <xdr:col>0</xdr:col>
      <xdr:colOff>508000</xdr:colOff>
      <xdr:row>65</xdr:row>
      <xdr:rowOff>0</xdr:rowOff>
    </xdr:from>
    <xdr:to>
      <xdr:col>7</xdr:col>
      <xdr:colOff>218018</xdr:colOff>
      <xdr:row>68</xdr:row>
      <xdr:rowOff>6351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SpPr txBox="1"/>
      </xdr:nvSpPr>
      <xdr:spPr>
        <a:xfrm>
          <a:off x="508000" y="12382500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Time to Money</a:t>
          </a:r>
        </a:p>
      </xdr:txBody>
    </xdr:sp>
    <xdr:clientData/>
  </xdr:twoCellAnchor>
  <xdr:twoCellAnchor>
    <xdr:from>
      <xdr:col>0</xdr:col>
      <xdr:colOff>480483</xdr:colOff>
      <xdr:row>68</xdr:row>
      <xdr:rowOff>184151</xdr:rowOff>
    </xdr:from>
    <xdr:to>
      <xdr:col>7</xdr:col>
      <xdr:colOff>190501</xdr:colOff>
      <xdr:row>72</xdr:row>
      <xdr:rowOff>2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2100-000035000000}"/>
            </a:ext>
          </a:extLst>
        </xdr:cNvPr>
        <xdr:cNvSpPr txBox="1"/>
      </xdr:nvSpPr>
      <xdr:spPr>
        <a:xfrm>
          <a:off x="480483" y="13138151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Weeks in the year</a:t>
          </a:r>
        </a:p>
      </xdr:txBody>
    </xdr:sp>
    <xdr:clientData/>
  </xdr:twoCellAnchor>
  <xdr:twoCellAnchor>
    <xdr:from>
      <xdr:col>0</xdr:col>
      <xdr:colOff>455084</xdr:colOff>
      <xdr:row>73</xdr:row>
      <xdr:rowOff>10584</xdr:rowOff>
    </xdr:from>
    <xdr:to>
      <xdr:col>7</xdr:col>
      <xdr:colOff>165102</xdr:colOff>
      <xdr:row>76</xdr:row>
      <xdr:rowOff>16935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2100-000037000000}"/>
            </a:ext>
          </a:extLst>
        </xdr:cNvPr>
        <xdr:cNvSpPr txBox="1"/>
      </xdr:nvSpPr>
      <xdr:spPr>
        <a:xfrm>
          <a:off x="455084" y="13917084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# of Sales Cycles</a:t>
          </a:r>
        </a:p>
      </xdr:txBody>
    </xdr:sp>
    <xdr:clientData/>
  </xdr:twoCellAnchor>
  <xdr:twoCellAnchor>
    <xdr:from>
      <xdr:col>10</xdr:col>
      <xdr:colOff>279401</xdr:colOff>
      <xdr:row>60</xdr:row>
      <xdr:rowOff>184151</xdr:rowOff>
    </xdr:from>
    <xdr:to>
      <xdr:col>13</xdr:col>
      <xdr:colOff>476252</xdr:colOff>
      <xdr:row>64</xdr:row>
      <xdr:rowOff>2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2100-000038000000}"/>
            </a:ext>
          </a:extLst>
        </xdr:cNvPr>
        <xdr:cNvSpPr txBox="1"/>
      </xdr:nvSpPr>
      <xdr:spPr>
        <a:xfrm>
          <a:off x="4576234" y="11614151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Total # of Accounts </a:t>
          </a:r>
        </a:p>
      </xdr:txBody>
    </xdr:sp>
    <xdr:clientData/>
  </xdr:twoCellAnchor>
  <xdr:twoCellAnchor>
    <xdr:from>
      <xdr:col>10</xdr:col>
      <xdr:colOff>296333</xdr:colOff>
      <xdr:row>65</xdr:row>
      <xdr:rowOff>0</xdr:rowOff>
    </xdr:from>
    <xdr:to>
      <xdr:col>13</xdr:col>
      <xdr:colOff>493184</xdr:colOff>
      <xdr:row>68</xdr:row>
      <xdr:rowOff>6351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2100-000039000000}"/>
            </a:ext>
          </a:extLst>
        </xdr:cNvPr>
        <xdr:cNvSpPr txBox="1"/>
      </xdr:nvSpPr>
      <xdr:spPr>
        <a:xfrm>
          <a:off x="4593166" y="12382500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Average # of Patients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Per Account</a:t>
          </a:r>
        </a:p>
      </xdr:txBody>
    </xdr:sp>
    <xdr:clientData/>
  </xdr:twoCellAnchor>
  <xdr:twoCellAnchor>
    <xdr:from>
      <xdr:col>10</xdr:col>
      <xdr:colOff>254001</xdr:colOff>
      <xdr:row>68</xdr:row>
      <xdr:rowOff>179917</xdr:rowOff>
    </xdr:from>
    <xdr:to>
      <xdr:col>13</xdr:col>
      <xdr:colOff>450852</xdr:colOff>
      <xdr:row>71</xdr:row>
      <xdr:rowOff>186268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2100-00003C000000}"/>
            </a:ext>
          </a:extLst>
        </xdr:cNvPr>
        <xdr:cNvSpPr txBox="1"/>
      </xdr:nvSpPr>
      <xdr:spPr>
        <a:xfrm>
          <a:off x="4550834" y="13133917"/>
          <a:ext cx="2165351" cy="57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aseline="0">
              <a:latin typeface="Lucida Bright" panose="02040602050505020304" pitchFamily="18" charset="0"/>
            </a:rPr>
            <a:t>Total # of Patients</a:t>
          </a:r>
        </a:p>
        <a:p>
          <a:pPr algn="ctr"/>
          <a:r>
            <a:rPr lang="en-US" sz="1400" baseline="0">
              <a:latin typeface="Lucida Bright" panose="02040602050505020304" pitchFamily="18" charset="0"/>
            </a:rPr>
            <a:t>Per Salesman</a:t>
          </a:r>
        </a:p>
      </xdr:txBody>
    </xdr:sp>
    <xdr:clientData/>
  </xdr:twoCellAnchor>
  <xdr:twoCellAnchor>
    <xdr:from>
      <xdr:col>1</xdr:col>
      <xdr:colOff>0</xdr:colOff>
      <xdr:row>58</xdr:row>
      <xdr:rowOff>10583</xdr:rowOff>
    </xdr:from>
    <xdr:to>
      <xdr:col>23</xdr:col>
      <xdr:colOff>254000</xdr:colOff>
      <xdr:row>58</xdr:row>
      <xdr:rowOff>63500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2100-000016000000}"/>
            </a:ext>
          </a:extLst>
        </xdr:cNvPr>
        <xdr:cNvCxnSpPr/>
      </xdr:nvCxnSpPr>
      <xdr:spPr>
        <a:xfrm>
          <a:off x="613833" y="11059583"/>
          <a:ext cx="11419417" cy="529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190499</xdr:colOff>
      <xdr:row>9</xdr:row>
      <xdr:rowOff>166687</xdr:rowOff>
    </xdr:from>
    <xdr:to>
      <xdr:col>17</xdr:col>
      <xdr:colOff>583405</xdr:colOff>
      <xdr:row>22</xdr:row>
      <xdr:rowOff>47625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5067299" y="1881187"/>
          <a:ext cx="5879306" cy="25955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>
              <a:solidFill>
                <a:schemeClr val="accent2">
                  <a:lumMod val="50000"/>
                </a:schemeClr>
              </a:solidFill>
              <a:latin typeface="Lucida Bright" panose="02040602050505020304" pitchFamily="18" charset="0"/>
            </a:rPr>
            <a:t>HeartCloud.io</a:t>
          </a:r>
        </a:p>
        <a:p>
          <a:pPr algn="ctr"/>
          <a:endParaRPr lang="en-US" sz="3600" b="1">
            <a:solidFill>
              <a:schemeClr val="accent2">
                <a:lumMod val="50000"/>
              </a:schemeClr>
            </a:solidFill>
            <a:latin typeface="Lucida Bright" panose="02040602050505020304" pitchFamily="18" charset="0"/>
          </a:endParaRPr>
        </a:p>
        <a:p>
          <a:pPr algn="ctr"/>
          <a:r>
            <a:rPr lang="en-US" sz="2800" baseline="0">
              <a:latin typeface="Lucida Bright" panose="02040602050505020304" pitchFamily="18" charset="0"/>
            </a:rPr>
            <a:t> (Series A Considerations)</a:t>
          </a:r>
        </a:p>
        <a:p>
          <a:pPr algn="ctr"/>
          <a:endParaRPr lang="en-US" sz="2800">
            <a:latin typeface="Lucida Bright" panose="02040602050505020304" pitchFamily="18" charset="0"/>
          </a:endParaRPr>
        </a:p>
      </xdr:txBody>
    </xdr:sp>
    <xdr:clientData/>
  </xdr:twoCellAnchor>
  <xdr:twoCellAnchor editAs="oneCell">
    <xdr:from>
      <xdr:col>1</xdr:col>
      <xdr:colOff>564356</xdr:colOff>
      <xdr:row>4</xdr:row>
      <xdr:rowOff>64294</xdr:rowOff>
    </xdr:from>
    <xdr:to>
      <xdr:col>5</xdr:col>
      <xdr:colOff>402431</xdr:colOff>
      <xdr:row>10</xdr:row>
      <xdr:rowOff>73819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956" y="826294"/>
          <a:ext cx="2276475" cy="1152525"/>
        </a:xfrm>
        <a:prstGeom prst="rect">
          <a:avLst/>
        </a:prstGeom>
        <a:ln>
          <a:solidFill>
            <a:schemeClr val="tx2">
              <a:lumMod val="50000"/>
            </a:schemeClr>
          </a:solidFill>
        </a:ln>
      </xdr:spPr>
    </xdr:pic>
    <xdr:clientData/>
  </xdr:twoCellAnchor>
  <xdr:twoCellAnchor>
    <xdr:from>
      <xdr:col>10</xdr:col>
      <xdr:colOff>595310</xdr:colOff>
      <xdr:row>24</xdr:row>
      <xdr:rowOff>83344</xdr:rowOff>
    </xdr:from>
    <xdr:to>
      <xdr:col>15</xdr:col>
      <xdr:colOff>0</xdr:colOff>
      <xdr:row>28</xdr:row>
      <xdr:rowOff>71438</xdr:rowOff>
    </xdr:to>
    <xdr:sp macro="" textlink="">
      <xdr:nvSpPr>
        <xdr:cNvPr id="10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/>
      </xdr:nvSpPr>
      <xdr:spPr>
        <a:xfrm>
          <a:off x="6667498" y="4655344"/>
          <a:ext cx="2440783" cy="750094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>
              <a:solidFill>
                <a:schemeClr val="tx1"/>
              </a:solidFill>
              <a:latin typeface="Lucida Bright" panose="02040602050505020304" pitchFamily="18" charset="0"/>
            </a:rPr>
            <a:t>Click Here</a:t>
          </a:r>
        </a:p>
      </xdr:txBody>
    </xdr:sp>
    <xdr:clientData/>
  </xdr:twoCellAnchor>
  <xdr:twoCellAnchor>
    <xdr:from>
      <xdr:col>1</xdr:col>
      <xdr:colOff>130969</xdr:colOff>
      <xdr:row>41</xdr:row>
      <xdr:rowOff>35717</xdr:rowOff>
    </xdr:from>
    <xdr:to>
      <xdr:col>5</xdr:col>
      <xdr:colOff>231510</xdr:colOff>
      <xdr:row>47</xdr:row>
      <xdr:rowOff>23811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/>
      </xdr:nvSpPr>
      <xdr:spPr>
        <a:xfrm>
          <a:off x="738188" y="7846217"/>
          <a:ext cx="2529416" cy="11310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/>
        </a:p>
        <a:p>
          <a:pPr algn="ctr"/>
          <a:r>
            <a:rPr lang="en-US" sz="1600"/>
            <a:t>© 2021, Regents</a:t>
          </a:r>
          <a:r>
            <a:rPr lang="en-US" sz="1600" baseline="0"/>
            <a:t> Park Holdings</a:t>
          </a:r>
          <a:r>
            <a:rPr lang="en-US" sz="1600"/>
            <a:t>.Inc.</a:t>
          </a:r>
        </a:p>
        <a:p>
          <a:pPr algn="ctr"/>
          <a:r>
            <a:rPr lang="en-US" sz="1600"/>
            <a:t> or its affiliates</a:t>
          </a:r>
        </a:p>
        <a:p>
          <a:endParaRPr lang="en-US" sz="1100"/>
        </a:p>
      </xdr:txBody>
    </xdr:sp>
    <xdr:clientData/>
  </xdr:twoCellAnchor>
  <xdr:twoCellAnchor editAs="oneCell">
    <xdr:from>
      <xdr:col>18</xdr:col>
      <xdr:colOff>47625</xdr:colOff>
      <xdr:row>8</xdr:row>
      <xdr:rowOff>95250</xdr:rowOff>
    </xdr:from>
    <xdr:to>
      <xdr:col>24</xdr:col>
      <xdr:colOff>238125</xdr:colOff>
      <xdr:row>21</xdr:row>
      <xdr:rowOff>90577</xdr:rowOff>
    </xdr:to>
    <xdr:pic>
      <xdr:nvPicPr>
        <xdr:cNvPr id="6" name="Picture 5" descr="Red heart outline with dark gray heartbeat line on cloud with medium gray border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63" y="1619250"/>
          <a:ext cx="3833812" cy="247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4</xdr:col>
      <xdr:colOff>587375</xdr:colOff>
      <xdr:row>1</xdr:row>
      <xdr:rowOff>142875</xdr:rowOff>
    </xdr:from>
    <xdr:to>
      <xdr:col>14</xdr:col>
      <xdr:colOff>396875</xdr:colOff>
      <xdr:row>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3025775" y="333375"/>
          <a:ext cx="5905500" cy="1381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Configuration Modified/Modified</a:t>
          </a:r>
        </a:p>
      </xdr:txBody>
    </xdr:sp>
    <xdr:clientData/>
  </xdr:twoCellAnchor>
  <xdr:twoCellAnchor>
    <xdr:from>
      <xdr:col>0</xdr:col>
      <xdr:colOff>261408</xdr:colOff>
      <xdr:row>37</xdr:row>
      <xdr:rowOff>77258</xdr:rowOff>
    </xdr:from>
    <xdr:to>
      <xdr:col>3</xdr:col>
      <xdr:colOff>277283</xdr:colOff>
      <xdr:row>43</xdr:row>
      <xdr:rowOff>24341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261408" y="7125758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504825</xdr:colOff>
      <xdr:row>11</xdr:row>
      <xdr:rowOff>38100</xdr:rowOff>
    </xdr:from>
    <xdr:to>
      <xdr:col>13</xdr:col>
      <xdr:colOff>542925</xdr:colOff>
      <xdr:row>15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 txBox="1"/>
      </xdr:nvSpPr>
      <xdr:spPr>
        <a:xfrm>
          <a:off x="3552825" y="2133600"/>
          <a:ext cx="49149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5</xdr:col>
      <xdr:colOff>44450</xdr:colOff>
      <xdr:row>2</xdr:row>
      <xdr:rowOff>57151</xdr:rowOff>
    </xdr:from>
    <xdr:to>
      <xdr:col>14</xdr:col>
      <xdr:colOff>463550</xdr:colOff>
      <xdr:row>9</xdr:row>
      <xdr:rowOff>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3092450" y="438151"/>
          <a:ext cx="5905500" cy="1276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Configuration</a:t>
          </a:r>
        </a:p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Modified/Current</a:t>
          </a:r>
        </a:p>
      </xdr:txBody>
    </xdr:sp>
    <xdr:clientData/>
  </xdr:twoCellAnchor>
  <xdr:twoCellAnchor>
    <xdr:from>
      <xdr:col>0</xdr:col>
      <xdr:colOff>261408</xdr:colOff>
      <xdr:row>37</xdr:row>
      <xdr:rowOff>77258</xdr:rowOff>
    </xdr:from>
    <xdr:to>
      <xdr:col>3</xdr:col>
      <xdr:colOff>277283</xdr:colOff>
      <xdr:row>43</xdr:row>
      <xdr:rowOff>24341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261408" y="7125758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552450</xdr:colOff>
      <xdr:row>10</xdr:row>
      <xdr:rowOff>47625</xdr:rowOff>
    </xdr:from>
    <xdr:to>
      <xdr:col>13</xdr:col>
      <xdr:colOff>590550</xdr:colOff>
      <xdr:row>14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 txBox="1"/>
      </xdr:nvSpPr>
      <xdr:spPr>
        <a:xfrm>
          <a:off x="3600450" y="1952625"/>
          <a:ext cx="49149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5</xdr:col>
      <xdr:colOff>15875</xdr:colOff>
      <xdr:row>1</xdr:row>
      <xdr:rowOff>112183</xdr:rowOff>
    </xdr:from>
    <xdr:to>
      <xdr:col>14</xdr:col>
      <xdr:colOff>434975</xdr:colOff>
      <xdr:row>7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3063875" y="302683"/>
          <a:ext cx="5905500" cy="11736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Configuration</a:t>
          </a:r>
        </a:p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Current/Modified</a:t>
          </a:r>
        </a:p>
      </xdr:txBody>
    </xdr:sp>
    <xdr:clientData/>
  </xdr:twoCellAnchor>
  <xdr:twoCellAnchor>
    <xdr:from>
      <xdr:col>0</xdr:col>
      <xdr:colOff>261408</xdr:colOff>
      <xdr:row>37</xdr:row>
      <xdr:rowOff>77258</xdr:rowOff>
    </xdr:from>
    <xdr:to>
      <xdr:col>3</xdr:col>
      <xdr:colOff>277283</xdr:colOff>
      <xdr:row>43</xdr:row>
      <xdr:rowOff>24341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/>
      </xdr:nvSpPr>
      <xdr:spPr>
        <a:xfrm>
          <a:off x="261408" y="7125758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447675</xdr:colOff>
      <xdr:row>9</xdr:row>
      <xdr:rowOff>152400</xdr:rowOff>
    </xdr:from>
    <xdr:to>
      <xdr:col>13</xdr:col>
      <xdr:colOff>485775</xdr:colOff>
      <xdr:row>14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 txBox="1"/>
      </xdr:nvSpPr>
      <xdr:spPr>
        <a:xfrm>
          <a:off x="3495675" y="1866900"/>
          <a:ext cx="49149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4</xdr:col>
      <xdr:colOff>292100</xdr:colOff>
      <xdr:row>2</xdr:row>
      <xdr:rowOff>159808</xdr:rowOff>
    </xdr:from>
    <xdr:to>
      <xdr:col>14</xdr:col>
      <xdr:colOff>101600</xdr:colOff>
      <xdr:row>8</xdr:row>
      <xdr:rowOff>152400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/>
      </xdr:nvSpPr>
      <xdr:spPr>
        <a:xfrm>
          <a:off x="2730500" y="540808"/>
          <a:ext cx="5905500" cy="113559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Configuration</a:t>
          </a:r>
        </a:p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twoCellAnchor>
  <xdr:twoCellAnchor>
    <xdr:from>
      <xdr:col>0</xdr:col>
      <xdr:colOff>261408</xdr:colOff>
      <xdr:row>37</xdr:row>
      <xdr:rowOff>77258</xdr:rowOff>
    </xdr:from>
    <xdr:to>
      <xdr:col>3</xdr:col>
      <xdr:colOff>277283</xdr:colOff>
      <xdr:row>43</xdr:row>
      <xdr:rowOff>24341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/>
      </xdr:nvSpPr>
      <xdr:spPr>
        <a:xfrm>
          <a:off x="261408" y="7125758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5</xdr:col>
      <xdr:colOff>200025</xdr:colOff>
      <xdr:row>11</xdr:row>
      <xdr:rowOff>38100</xdr:rowOff>
    </xdr:from>
    <xdr:to>
      <xdr:col>13</xdr:col>
      <xdr:colOff>238125</xdr:colOff>
      <xdr:row>15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 txBox="1"/>
      </xdr:nvSpPr>
      <xdr:spPr>
        <a:xfrm>
          <a:off x="3248025" y="2133600"/>
          <a:ext cx="49149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604158</xdr:colOff>
      <xdr:row>1</xdr:row>
      <xdr:rowOff>72116</xdr:rowOff>
    </xdr:from>
    <xdr:to>
      <xdr:col>2</xdr:col>
      <xdr:colOff>438452</xdr:colOff>
      <xdr:row>6</xdr:row>
      <xdr:rowOff>60476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04158" y="262616"/>
          <a:ext cx="1058937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6</xdr:col>
      <xdr:colOff>185964</xdr:colOff>
      <xdr:row>2</xdr:row>
      <xdr:rowOff>35983</xdr:rowOff>
    </xdr:from>
    <xdr:to>
      <xdr:col>23</xdr:col>
      <xdr:colOff>571499</xdr:colOff>
      <xdr:row>5</xdr:row>
      <xdr:rowOff>131234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859893" y="416983"/>
          <a:ext cx="10794999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Implementation: 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Current Market/Current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299962</xdr:colOff>
      <xdr:row>57</xdr:row>
      <xdr:rowOff>120347</xdr:rowOff>
    </xdr:from>
    <xdr:to>
      <xdr:col>4</xdr:col>
      <xdr:colOff>315837</xdr:colOff>
      <xdr:row>63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09562" y="10978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14</xdr:col>
      <xdr:colOff>344259</xdr:colOff>
      <xdr:row>31</xdr:row>
      <xdr:rowOff>0</xdr:rowOff>
    </xdr:from>
    <xdr:to>
      <xdr:col>16</xdr:col>
      <xdr:colOff>432705</xdr:colOff>
      <xdr:row>37</xdr:row>
      <xdr:rowOff>10884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3260159" y="5905500"/>
          <a:ext cx="1307646" cy="1153884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OperationalDelivery</a:t>
          </a:r>
        </a:p>
      </xdr:txBody>
    </xdr:sp>
    <xdr:clientData/>
  </xdr:twoCellAnchor>
  <xdr:twoCellAnchor>
    <xdr:from>
      <xdr:col>8</xdr:col>
      <xdr:colOff>126547</xdr:colOff>
      <xdr:row>8</xdr:row>
      <xdr:rowOff>92528</xdr:rowOff>
    </xdr:from>
    <xdr:to>
      <xdr:col>10</xdr:col>
      <xdr:colOff>214992</xdr:colOff>
      <xdr:row>14</xdr:row>
      <xdr:rowOff>119744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4412797" y="1616528"/>
          <a:ext cx="131308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Positioning</a:t>
          </a:r>
        </a:p>
      </xdr:txBody>
    </xdr:sp>
    <xdr:clientData/>
  </xdr:twoCellAnchor>
  <xdr:twoCellAnchor>
    <xdr:from>
      <xdr:col>14</xdr:col>
      <xdr:colOff>340177</xdr:colOff>
      <xdr:row>12</xdr:row>
      <xdr:rowOff>149680</xdr:rowOff>
    </xdr:from>
    <xdr:to>
      <xdr:col>16</xdr:col>
      <xdr:colOff>428623</xdr:colOff>
      <xdr:row>18</xdr:row>
      <xdr:rowOff>176896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3256077" y="2435680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Expectations of Experience</a:t>
          </a:r>
        </a:p>
      </xdr:txBody>
    </xdr:sp>
    <xdr:clientData/>
  </xdr:twoCellAnchor>
  <xdr:twoCellAnchor>
    <xdr:from>
      <xdr:col>11</xdr:col>
      <xdr:colOff>224515</xdr:colOff>
      <xdr:row>8</xdr:row>
      <xdr:rowOff>68033</xdr:rowOff>
    </xdr:from>
    <xdr:to>
      <xdr:col>13</xdr:col>
      <xdr:colOff>285751</xdr:colOff>
      <xdr:row>14</xdr:row>
      <xdr:rowOff>95249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1311615" y="1592033"/>
          <a:ext cx="128043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Message Content and Delivery</a:t>
          </a:r>
        </a:p>
      </xdr:txBody>
    </xdr:sp>
    <xdr:clientData/>
  </xdr:twoCellAnchor>
  <xdr:twoCellAnchor>
    <xdr:from>
      <xdr:col>17</xdr:col>
      <xdr:colOff>308429</xdr:colOff>
      <xdr:row>21</xdr:row>
      <xdr:rowOff>158751</xdr:rowOff>
    </xdr:from>
    <xdr:to>
      <xdr:col>19</xdr:col>
      <xdr:colOff>396875</xdr:colOff>
      <xdr:row>27</xdr:row>
      <xdr:rowOff>185967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5053129" y="415925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Gap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Analysis</a:t>
          </a:r>
        </a:p>
      </xdr:txBody>
    </xdr:sp>
    <xdr:clientData/>
  </xdr:twoCellAnchor>
  <xdr:twoCellAnchor>
    <xdr:from>
      <xdr:col>14</xdr:col>
      <xdr:colOff>340178</xdr:colOff>
      <xdr:row>21</xdr:row>
      <xdr:rowOff>136073</xdr:rowOff>
    </xdr:from>
    <xdr:to>
      <xdr:col>16</xdr:col>
      <xdr:colOff>428624</xdr:colOff>
      <xdr:row>27</xdr:row>
      <xdr:rowOff>163289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3256078" y="4136573"/>
          <a:ext cx="1307646" cy="117021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Moment of Truth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(Choice)</a:t>
          </a:r>
        </a:p>
      </xdr:txBody>
    </xdr:sp>
    <xdr:clientData/>
  </xdr:twoCellAnchor>
  <xdr:twoCellAnchor>
    <xdr:from>
      <xdr:col>15</xdr:col>
      <xdr:colOff>384401</xdr:colOff>
      <xdr:row>18</xdr:row>
      <xdr:rowOff>176896</xdr:rowOff>
    </xdr:from>
    <xdr:to>
      <xdr:col>15</xdr:col>
      <xdr:colOff>384402</xdr:colOff>
      <xdr:row>21</xdr:row>
      <xdr:rowOff>136073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>
          <a:stCxn id="7" idx="2"/>
          <a:endCxn id="10" idx="0"/>
        </xdr:cNvCxnSpPr>
      </xdr:nvCxnSpPr>
      <xdr:spPr>
        <a:xfrm>
          <a:off x="13909901" y="3605896"/>
          <a:ext cx="1" cy="53067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303894</xdr:colOff>
      <xdr:row>31</xdr:row>
      <xdr:rowOff>0</xdr:rowOff>
    </xdr:from>
    <xdr:to>
      <xdr:col>19</xdr:col>
      <xdr:colOff>392340</xdr:colOff>
      <xdr:row>37</xdr:row>
      <xdr:rowOff>15877</xdr:rowOff>
    </xdr:to>
    <xdr:sp macro="" textlink="">
      <xdr:nvSpPr>
        <xdr:cNvPr id="13" name="TextBox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5048594" y="5905500"/>
          <a:ext cx="1307646" cy="115887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Actual  Experience</a:t>
          </a:r>
        </a:p>
      </xdr:txBody>
    </xdr:sp>
    <xdr:clientData/>
  </xdr:twoCellAnchor>
  <xdr:twoCellAnchor>
    <xdr:from>
      <xdr:col>18</xdr:col>
      <xdr:colOff>348117</xdr:colOff>
      <xdr:row>27</xdr:row>
      <xdr:rowOff>185968</xdr:rowOff>
    </xdr:from>
    <xdr:to>
      <xdr:col>18</xdr:col>
      <xdr:colOff>352652</xdr:colOff>
      <xdr:row>31</xdr:row>
      <xdr:rowOff>0</xdr:rowOff>
    </xdr:to>
    <xdr:cxnSp macro="">
      <xdr:nvCxnSpPr>
        <xdr:cNvPr id="14" name="Elbow Connector 8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>
          <a:stCxn id="13" idx="0"/>
          <a:endCxn id="9" idx="2"/>
        </xdr:cNvCxnSpPr>
      </xdr:nvCxnSpPr>
      <xdr:spPr>
        <a:xfrm rot="5400000" flipH="1" flipV="1">
          <a:off x="15416669" y="5615216"/>
          <a:ext cx="576032" cy="4535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428623</xdr:colOff>
      <xdr:row>15</xdr:row>
      <xdr:rowOff>163288</xdr:rowOff>
    </xdr:from>
    <xdr:to>
      <xdr:col>18</xdr:col>
      <xdr:colOff>352653</xdr:colOff>
      <xdr:row>21</xdr:row>
      <xdr:rowOff>158751</xdr:rowOff>
    </xdr:to>
    <xdr:cxnSp macro="">
      <xdr:nvCxnSpPr>
        <xdr:cNvPr id="15" name="Elbow Connector 8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>
          <a:stCxn id="7" idx="3"/>
          <a:endCxn id="9" idx="0"/>
        </xdr:cNvCxnSpPr>
      </xdr:nvCxnSpPr>
      <xdr:spPr>
        <a:xfrm>
          <a:off x="14563723" y="3020788"/>
          <a:ext cx="1143230" cy="1138463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374196</xdr:colOff>
      <xdr:row>21</xdr:row>
      <xdr:rowOff>161018</xdr:rowOff>
    </xdr:from>
    <xdr:to>
      <xdr:col>22</xdr:col>
      <xdr:colOff>462642</xdr:colOff>
      <xdr:row>27</xdr:row>
      <xdr:rowOff>188234</xdr:rowOff>
    </xdr:to>
    <xdr:sp macro="" textlink="">
      <xdr:nvSpPr>
        <xdr:cNvPr id="16" name="TextBox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6947696" y="4161518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Lucida Bright" panose="02040602050505020304" pitchFamily="18" charset="0"/>
              <a:ea typeface="+mn-ea"/>
              <a:cs typeface="+mn-cs"/>
            </a:rPr>
            <a:t>. Remedy</a:t>
          </a:r>
        </a:p>
      </xdr:txBody>
    </xdr:sp>
    <xdr:clientData/>
  </xdr:twoCellAnchor>
  <xdr:twoCellAnchor>
    <xdr:from>
      <xdr:col>19</xdr:col>
      <xdr:colOff>396875</xdr:colOff>
      <xdr:row>24</xdr:row>
      <xdr:rowOff>172359</xdr:rowOff>
    </xdr:from>
    <xdr:to>
      <xdr:col>20</xdr:col>
      <xdr:colOff>374196</xdr:colOff>
      <xdr:row>24</xdr:row>
      <xdr:rowOff>174626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>
          <a:stCxn id="9" idx="3"/>
          <a:endCxn id="16" idx="1"/>
        </xdr:cNvCxnSpPr>
      </xdr:nvCxnSpPr>
      <xdr:spPr>
        <a:xfrm>
          <a:off x="16360775" y="4744359"/>
          <a:ext cx="586921" cy="226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303894</xdr:colOff>
      <xdr:row>40</xdr:row>
      <xdr:rowOff>52161</xdr:rowOff>
    </xdr:from>
    <xdr:to>
      <xdr:col>19</xdr:col>
      <xdr:colOff>392340</xdr:colOff>
      <xdr:row>46</xdr:row>
      <xdr:rowOff>79377</xdr:rowOff>
    </xdr:to>
    <xdr:sp macro="" textlink="">
      <xdr:nvSpPr>
        <xdr:cNvPr id="18" name="TextBox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048594" y="767216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Retention and LVC</a:t>
          </a:r>
        </a:p>
      </xdr:txBody>
    </xdr:sp>
    <xdr:clientData/>
  </xdr:twoCellAnchor>
  <xdr:twoCellAnchor>
    <xdr:from>
      <xdr:col>18</xdr:col>
      <xdr:colOff>348118</xdr:colOff>
      <xdr:row>37</xdr:row>
      <xdr:rowOff>15877</xdr:rowOff>
    </xdr:from>
    <xdr:to>
      <xdr:col>18</xdr:col>
      <xdr:colOff>348118</xdr:colOff>
      <xdr:row>40</xdr:row>
      <xdr:rowOff>52161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>
          <a:stCxn id="13" idx="2"/>
          <a:endCxn id="18" idx="0"/>
        </xdr:cNvCxnSpPr>
      </xdr:nvCxnSpPr>
      <xdr:spPr>
        <a:xfrm>
          <a:off x="15702418" y="7064377"/>
          <a:ext cx="0" cy="6077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464911</xdr:colOff>
      <xdr:row>40</xdr:row>
      <xdr:rowOff>52162</xdr:rowOff>
    </xdr:from>
    <xdr:to>
      <xdr:col>22</xdr:col>
      <xdr:colOff>553357</xdr:colOff>
      <xdr:row>46</xdr:row>
      <xdr:rowOff>79378</xdr:rowOff>
    </xdr:to>
    <xdr:sp macro="" textlink="">
      <xdr:nvSpPr>
        <xdr:cNvPr id="20" name="TextBox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17038411" y="7672162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Financial Performance</a:t>
          </a:r>
        </a:p>
      </xdr:txBody>
    </xdr:sp>
    <xdr:clientData/>
  </xdr:twoCellAnchor>
  <xdr:twoCellAnchor>
    <xdr:from>
      <xdr:col>19</xdr:col>
      <xdr:colOff>392340</xdr:colOff>
      <xdr:row>43</xdr:row>
      <xdr:rowOff>65769</xdr:rowOff>
    </xdr:from>
    <xdr:to>
      <xdr:col>20</xdr:col>
      <xdr:colOff>464911</xdr:colOff>
      <xdr:row>43</xdr:row>
      <xdr:rowOff>65770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>
          <a:stCxn id="18" idx="3"/>
          <a:endCxn id="20" idx="1"/>
        </xdr:cNvCxnSpPr>
      </xdr:nvCxnSpPr>
      <xdr:spPr>
        <a:xfrm>
          <a:off x="16356240" y="8257269"/>
          <a:ext cx="682171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392341</xdr:colOff>
      <xdr:row>27</xdr:row>
      <xdr:rowOff>188233</xdr:rowOff>
    </xdr:from>
    <xdr:to>
      <xdr:col>21</xdr:col>
      <xdr:colOff>418420</xdr:colOff>
      <xdr:row>34</xdr:row>
      <xdr:rowOff>2268</xdr:rowOff>
    </xdr:to>
    <xdr:cxnSp macro="">
      <xdr:nvCxnSpPr>
        <xdr:cNvPr id="22" name="Elbow Connector 12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>
          <a:stCxn id="16" idx="2"/>
          <a:endCxn id="13" idx="3"/>
        </xdr:cNvCxnSpPr>
      </xdr:nvCxnSpPr>
      <xdr:spPr>
        <a:xfrm rot="5400000">
          <a:off x="16405113" y="5282861"/>
          <a:ext cx="1147535" cy="124527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204106</xdr:colOff>
      <xdr:row>17</xdr:row>
      <xdr:rowOff>68036</xdr:rowOff>
    </xdr:from>
    <xdr:to>
      <xdr:col>13</xdr:col>
      <xdr:colOff>292553</xdr:colOff>
      <xdr:row>23</xdr:row>
      <xdr:rowOff>95252</xdr:rowOff>
    </xdr:to>
    <xdr:sp macro="" textlink="">
      <xdr:nvSpPr>
        <xdr:cNvPr id="23" name="TextBox 2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11291206" y="3306536"/>
          <a:ext cx="1307647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Acquisition 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Sequence</a:t>
          </a:r>
        </a:p>
      </xdr:txBody>
    </xdr:sp>
    <xdr:clientData/>
  </xdr:twoCellAnchor>
  <xdr:twoCellAnchor>
    <xdr:from>
      <xdr:col>15</xdr:col>
      <xdr:colOff>384402</xdr:colOff>
      <xdr:row>27</xdr:row>
      <xdr:rowOff>163289</xdr:rowOff>
    </xdr:from>
    <xdr:to>
      <xdr:col>15</xdr:col>
      <xdr:colOff>388483</xdr:colOff>
      <xdr:row>31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CxnSpPr>
          <a:stCxn id="10" idx="2"/>
          <a:endCxn id="5" idx="0"/>
        </xdr:cNvCxnSpPr>
      </xdr:nvCxnSpPr>
      <xdr:spPr>
        <a:xfrm>
          <a:off x="13909902" y="5306789"/>
          <a:ext cx="4081" cy="5987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285751</xdr:colOff>
      <xdr:row>11</xdr:row>
      <xdr:rowOff>81641</xdr:rowOff>
    </xdr:from>
    <xdr:to>
      <xdr:col>15</xdr:col>
      <xdr:colOff>384401</xdr:colOff>
      <xdr:row>12</xdr:row>
      <xdr:rowOff>149680</xdr:rowOff>
    </xdr:to>
    <xdr:cxnSp macro="">
      <xdr:nvCxnSpPr>
        <xdr:cNvPr id="25" name="Elbow Connector 15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>
          <a:stCxn id="8" idx="3"/>
          <a:endCxn id="7" idx="0"/>
        </xdr:cNvCxnSpPr>
      </xdr:nvCxnSpPr>
      <xdr:spPr>
        <a:xfrm>
          <a:off x="12592051" y="2177141"/>
          <a:ext cx="1317850" cy="25853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248330</xdr:colOff>
      <xdr:row>23</xdr:row>
      <xdr:rowOff>95251</xdr:rowOff>
    </xdr:from>
    <xdr:to>
      <xdr:col>14</xdr:col>
      <xdr:colOff>340179</xdr:colOff>
      <xdr:row>24</xdr:row>
      <xdr:rowOff>149680</xdr:rowOff>
    </xdr:to>
    <xdr:cxnSp macro="">
      <xdr:nvCxnSpPr>
        <xdr:cNvPr id="26" name="Elbow Connector 223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CxnSpPr>
          <a:stCxn id="23" idx="2"/>
          <a:endCxn id="10" idx="1"/>
        </xdr:cNvCxnSpPr>
      </xdr:nvCxnSpPr>
      <xdr:spPr>
        <a:xfrm rot="16200000" flipH="1">
          <a:off x="12478090" y="3943691"/>
          <a:ext cx="244929" cy="131104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248329</xdr:colOff>
      <xdr:row>14</xdr:row>
      <xdr:rowOff>95249</xdr:rowOff>
    </xdr:from>
    <xdr:to>
      <xdr:col>12</xdr:col>
      <xdr:colOff>255133</xdr:colOff>
      <xdr:row>17</xdr:row>
      <xdr:rowOff>68036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>
          <a:stCxn id="8" idx="2"/>
          <a:endCxn id="23" idx="0"/>
        </xdr:cNvCxnSpPr>
      </xdr:nvCxnSpPr>
      <xdr:spPr>
        <a:xfrm flipH="1">
          <a:off x="11945029" y="2762249"/>
          <a:ext cx="6804" cy="54428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432705</xdr:colOff>
      <xdr:row>33</xdr:row>
      <xdr:rowOff>187776</xdr:rowOff>
    </xdr:from>
    <xdr:to>
      <xdr:col>17</xdr:col>
      <xdr:colOff>303894</xdr:colOff>
      <xdr:row>34</xdr:row>
      <xdr:rowOff>2269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CxnSpPr>
          <a:stCxn id="5" idx="3"/>
          <a:endCxn id="13" idx="1"/>
        </xdr:cNvCxnSpPr>
      </xdr:nvCxnSpPr>
      <xdr:spPr>
        <a:xfrm>
          <a:off x="14567805" y="6474276"/>
          <a:ext cx="480789" cy="49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214992</xdr:colOff>
      <xdr:row>11</xdr:row>
      <xdr:rowOff>81641</xdr:rowOff>
    </xdr:from>
    <xdr:to>
      <xdr:col>11</xdr:col>
      <xdr:colOff>224515</xdr:colOff>
      <xdr:row>11</xdr:row>
      <xdr:rowOff>81641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>
          <a:stCxn id="6" idx="3"/>
          <a:endCxn id="8" idx="1"/>
        </xdr:cNvCxnSpPr>
      </xdr:nvCxnSpPr>
      <xdr:spPr>
        <a:xfrm flipV="1">
          <a:off x="6338206" y="2177141"/>
          <a:ext cx="62184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7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7</xdr:col>
      <xdr:colOff>539750</xdr:colOff>
      <xdr:row>3</xdr:row>
      <xdr:rowOff>35983</xdr:rowOff>
    </xdr:from>
    <xdr:to>
      <xdr:col>17</xdr:col>
      <xdr:colOff>349250</xdr:colOff>
      <xdr:row>6</xdr:row>
      <xdr:rowOff>131234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4806950" y="60748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Overview and Scope</a:t>
          </a:r>
        </a:p>
      </xdr:txBody>
    </xdr:sp>
    <xdr:clientData/>
  </xdr:twoCellAnchor>
  <xdr:twoCellAnchor>
    <xdr:from>
      <xdr:col>0</xdr:col>
      <xdr:colOff>261408</xdr:colOff>
      <xdr:row>37</xdr:row>
      <xdr:rowOff>77258</xdr:rowOff>
    </xdr:from>
    <xdr:to>
      <xdr:col>3</xdr:col>
      <xdr:colOff>277283</xdr:colOff>
      <xdr:row>43</xdr:row>
      <xdr:rowOff>24341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261408" y="7125758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390525</xdr:colOff>
      <xdr:row>10</xdr:row>
      <xdr:rowOff>142875</xdr:rowOff>
    </xdr:from>
    <xdr:to>
      <xdr:col>16</xdr:col>
      <xdr:colOff>428625</xdr:colOff>
      <xdr:row>14</xdr:row>
      <xdr:rowOff>180975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/>
      </xdr:nvSpPr>
      <xdr:spPr>
        <a:xfrm>
          <a:off x="5267325" y="2047875"/>
          <a:ext cx="4914900" cy="80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aseline="0">
              <a:latin typeface="Lucida Bright" panose="02040602050505020304" pitchFamily="18" charset="0"/>
            </a:rPr>
            <a:t>This is a wireframe strawman developed to facilitate preparation of a full "Series A" Offering Memorandum.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9</xdr:row>
      <xdr:rowOff>104775</xdr:rowOff>
    </xdr:from>
    <xdr:to>
      <xdr:col>13</xdr:col>
      <xdr:colOff>533400</xdr:colOff>
      <xdr:row>12</xdr:row>
      <xdr:rowOff>57151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4867275" y="1819275"/>
          <a:ext cx="3590925" cy="523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>
              <a:solidFill>
                <a:schemeClr val="tx2">
                  <a:lumMod val="50000"/>
                </a:schemeClr>
              </a:solidFill>
            </a:rPr>
            <a:t>Purpose</a:t>
          </a:r>
        </a:p>
      </xdr:txBody>
    </xdr:sp>
    <xdr:clientData/>
  </xdr:twoCellAnchor>
  <xdr:twoCellAnchor>
    <xdr:from>
      <xdr:col>7</xdr:col>
      <xdr:colOff>571500</xdr:colOff>
      <xdr:row>2</xdr:row>
      <xdr:rowOff>180974</xdr:rowOff>
    </xdr:from>
    <xdr:to>
      <xdr:col>13</xdr:col>
      <xdr:colOff>200025</xdr:colOff>
      <xdr:row>6</xdr:row>
      <xdr:rowOff>85725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/>
      </xdr:nvSpPr>
      <xdr:spPr>
        <a:xfrm>
          <a:off x="4838700" y="561974"/>
          <a:ext cx="3286125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 Content</a:t>
          </a:r>
        </a:p>
      </xdr:txBody>
    </xdr:sp>
    <xdr:clientData/>
  </xdr:twoCellAnchor>
  <xdr:twoCellAnchor>
    <xdr:from>
      <xdr:col>1</xdr:col>
      <xdr:colOff>28576</xdr:colOff>
      <xdr:row>1</xdr:row>
      <xdr:rowOff>95251</xdr:rowOff>
    </xdr:from>
    <xdr:to>
      <xdr:col>2</xdr:col>
      <xdr:colOff>390526</xdr:colOff>
      <xdr:row>5</xdr:row>
      <xdr:rowOff>152400</xdr:rowOff>
    </xdr:to>
    <xdr:sp macro="" textlink="">
      <xdr:nvSpPr>
        <xdr:cNvPr id="5" name="Arrow: Left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638176" y="285751"/>
          <a:ext cx="971550" cy="819149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8</xdr:col>
      <xdr:colOff>9525</xdr:colOff>
      <xdr:row>12</xdr:row>
      <xdr:rowOff>161925</xdr:rowOff>
    </xdr:from>
    <xdr:to>
      <xdr:col>13</xdr:col>
      <xdr:colOff>552450</xdr:colOff>
      <xdr:row>15</xdr:row>
      <xdr:rowOff>114301</xdr:rowOff>
    </xdr:to>
    <xdr:sp macro="" textlink="">
      <xdr:nvSpPr>
        <xdr:cNvPr id="9" name="TextBox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4886325" y="2447925"/>
          <a:ext cx="3590925" cy="523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>
              <a:solidFill>
                <a:schemeClr val="tx2">
                  <a:lumMod val="50000"/>
                </a:schemeClr>
              </a:solidFill>
            </a:rPr>
            <a:t>Congruity</a:t>
          </a:r>
          <a:r>
            <a:rPr lang="en-US" sz="2800" baseline="0">
              <a:solidFill>
                <a:schemeClr val="tx2">
                  <a:lumMod val="50000"/>
                </a:schemeClr>
              </a:solidFill>
            </a:rPr>
            <a:t> of Thought</a:t>
          </a:r>
          <a:endParaRPr lang="en-US" sz="2800">
            <a:solidFill>
              <a:schemeClr val="tx2">
                <a:lumMod val="50000"/>
              </a:schemeClr>
            </a:solidFill>
          </a:endParaRPr>
        </a:p>
      </xdr:txBody>
    </xdr:sp>
    <xdr:clientData/>
  </xdr:twoCellAnchor>
  <xdr:twoCellAnchor>
    <xdr:from>
      <xdr:col>10</xdr:col>
      <xdr:colOff>85725</xdr:colOff>
      <xdr:row>6</xdr:row>
      <xdr:rowOff>161925</xdr:rowOff>
    </xdr:from>
    <xdr:to>
      <xdr:col>11</xdr:col>
      <xdr:colOff>400050</xdr:colOff>
      <xdr:row>8</xdr:row>
      <xdr:rowOff>161925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 txBox="1"/>
      </xdr:nvSpPr>
      <xdr:spPr>
        <a:xfrm>
          <a:off x="6181725" y="1304925"/>
          <a:ext cx="923925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click</a:t>
          </a:r>
          <a:r>
            <a:rPr lang="en-US" sz="1100" baseline="0"/>
            <a:t> below</a:t>
          </a:r>
          <a:endParaRPr lang="en-US" sz="1100"/>
        </a:p>
      </xdr:txBody>
    </xdr:sp>
    <xdr:clientData/>
  </xdr:twoCellAnchor>
  <xdr:twoCellAnchor>
    <xdr:from>
      <xdr:col>1</xdr:col>
      <xdr:colOff>0</xdr:colOff>
      <xdr:row>34</xdr:row>
      <xdr:rowOff>0</xdr:rowOff>
    </xdr:from>
    <xdr:to>
      <xdr:col>5</xdr:col>
      <xdr:colOff>0</xdr:colOff>
      <xdr:row>39</xdr:row>
      <xdr:rowOff>178594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 txBox="1"/>
      </xdr:nvSpPr>
      <xdr:spPr>
        <a:xfrm>
          <a:off x="609600" y="6477000"/>
          <a:ext cx="2529416" cy="11310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en-US"/>
        </a:p>
        <a:p>
          <a:pPr algn="ctr"/>
          <a:r>
            <a:rPr lang="en-US" sz="1600"/>
            <a:t>© 2021, Regents</a:t>
          </a:r>
          <a:r>
            <a:rPr lang="en-US" sz="1600" baseline="0"/>
            <a:t> Park Holdings</a:t>
          </a:r>
          <a:r>
            <a:rPr lang="en-US" sz="1600"/>
            <a:t>.Inc.</a:t>
          </a:r>
        </a:p>
        <a:p>
          <a:pPr algn="ctr"/>
          <a:r>
            <a:rPr lang="en-US" sz="1600"/>
            <a:t> or its affiliates</a:t>
          </a:r>
        </a:p>
        <a:p>
          <a:endParaRPr lang="en-US" sz="1100"/>
        </a:p>
      </xdr:txBody>
    </xdr:sp>
    <xdr:clientData/>
  </xdr:twoCellAnchor>
  <xdr:twoCellAnchor>
    <xdr:from>
      <xdr:col>8</xdr:col>
      <xdr:colOff>76200</xdr:colOff>
      <xdr:row>16</xdr:row>
      <xdr:rowOff>104775</xdr:rowOff>
    </xdr:from>
    <xdr:to>
      <xdr:col>14</xdr:col>
      <xdr:colOff>9525</xdr:colOff>
      <xdr:row>19</xdr:row>
      <xdr:rowOff>57151</xdr:rowOff>
    </xdr:to>
    <xdr:sp macro="" textlink="">
      <xdr:nvSpPr>
        <xdr:cNvPr id="12" name="TextBox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 txBox="1"/>
      </xdr:nvSpPr>
      <xdr:spPr>
        <a:xfrm>
          <a:off x="4953000" y="3152775"/>
          <a:ext cx="3590925" cy="523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>
              <a:solidFill>
                <a:schemeClr val="tx2">
                  <a:lumMod val="50000"/>
                </a:schemeClr>
              </a:solidFill>
            </a:rPr>
            <a:t>Recommendations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73480</xdr:colOff>
      <xdr:row>0</xdr:row>
      <xdr:rowOff>153759</xdr:rowOff>
    </xdr:from>
    <xdr:to>
      <xdr:col>2</xdr:col>
      <xdr:colOff>520096</xdr:colOff>
      <xdr:row>5</xdr:row>
      <xdr:rowOff>142119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685801" y="153759"/>
          <a:ext cx="1058938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6</xdr:col>
      <xdr:colOff>190500</xdr:colOff>
      <xdr:row>2</xdr:row>
      <xdr:rowOff>41427</xdr:rowOff>
    </xdr:from>
    <xdr:to>
      <xdr:col>14</xdr:col>
      <xdr:colOff>326116</xdr:colOff>
      <xdr:row>5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/>
      </xdr:nvSpPr>
      <xdr:spPr>
        <a:xfrm>
          <a:off x="4457700" y="422427"/>
          <a:ext cx="4517116" cy="6634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Implementation</a:t>
          </a:r>
        </a:p>
      </xdr:txBody>
    </xdr:sp>
    <xdr:clientData/>
  </xdr:twoCellAnchor>
  <xdr:twoCellAnchor>
    <xdr:from>
      <xdr:col>7</xdr:col>
      <xdr:colOff>299962</xdr:colOff>
      <xdr:row>49</xdr:row>
      <xdr:rowOff>120347</xdr:rowOff>
    </xdr:from>
    <xdr:to>
      <xdr:col>10</xdr:col>
      <xdr:colOff>315837</xdr:colOff>
      <xdr:row>55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/>
      </xdr:nvSpPr>
      <xdr:spPr>
        <a:xfrm>
          <a:off x="909562" y="10978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6</xdr:col>
      <xdr:colOff>544286</xdr:colOff>
      <xdr:row>9</xdr:row>
      <xdr:rowOff>27214</xdr:rowOff>
    </xdr:from>
    <xdr:to>
      <xdr:col>9</xdr:col>
      <xdr:colOff>571500</xdr:colOff>
      <xdr:row>15</xdr:row>
      <xdr:rowOff>54430</xdr:rowOff>
    </xdr:to>
    <xdr:sp macro="" textlink="">
      <xdr:nvSpPr>
        <xdr:cNvPr id="40" name="TextBox 3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28000000}"/>
            </a:ext>
          </a:extLst>
        </xdr:cNvPr>
        <xdr:cNvSpPr txBox="1"/>
      </xdr:nvSpPr>
      <xdr:spPr>
        <a:xfrm>
          <a:off x="6055179" y="3265714"/>
          <a:ext cx="186417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Current/Current</a:t>
          </a:r>
        </a:p>
      </xdr:txBody>
    </xdr:sp>
    <xdr:clientData/>
  </xdr:twoCellAnchor>
  <xdr:twoCellAnchor>
    <xdr:from>
      <xdr:col>10</xdr:col>
      <xdr:colOff>95250</xdr:colOff>
      <xdr:row>9</xdr:row>
      <xdr:rowOff>29936</xdr:rowOff>
    </xdr:from>
    <xdr:to>
      <xdr:col>14</xdr:col>
      <xdr:colOff>2721</xdr:colOff>
      <xdr:row>15</xdr:row>
      <xdr:rowOff>57152</xdr:rowOff>
    </xdr:to>
    <xdr:sp macro="" textlink="">
      <xdr:nvSpPr>
        <xdr:cNvPr id="41" name="Text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29000000}"/>
            </a:ext>
          </a:extLst>
        </xdr:cNvPr>
        <xdr:cNvSpPr txBox="1"/>
      </xdr:nvSpPr>
      <xdr:spPr>
        <a:xfrm>
          <a:off x="9848850" y="2125436"/>
          <a:ext cx="1850571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Current/Modified</a:t>
          </a:r>
        </a:p>
      </xdr:txBody>
    </xdr:sp>
    <xdr:clientData/>
  </xdr:twoCellAnchor>
  <xdr:twoCellAnchor>
    <xdr:from>
      <xdr:col>6</xdr:col>
      <xdr:colOff>553811</xdr:colOff>
      <xdr:row>15</xdr:row>
      <xdr:rowOff>172813</xdr:rowOff>
    </xdr:from>
    <xdr:to>
      <xdr:col>9</xdr:col>
      <xdr:colOff>581025</xdr:colOff>
      <xdr:row>22</xdr:row>
      <xdr:rowOff>9529</xdr:rowOff>
    </xdr:to>
    <xdr:sp macro="" textlink="">
      <xdr:nvSpPr>
        <xdr:cNvPr id="42" name="TextBox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2A000000}"/>
            </a:ext>
          </a:extLst>
        </xdr:cNvPr>
        <xdr:cNvSpPr txBox="1"/>
      </xdr:nvSpPr>
      <xdr:spPr>
        <a:xfrm>
          <a:off x="7869011" y="3411313"/>
          <a:ext cx="1856014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Modified/Current</a:t>
          </a:r>
        </a:p>
      </xdr:txBody>
    </xdr:sp>
    <xdr:clientData/>
  </xdr:twoCellAnchor>
  <xdr:twoCellAnchor>
    <xdr:from>
      <xdr:col>10</xdr:col>
      <xdr:colOff>81642</xdr:colOff>
      <xdr:row>15</xdr:row>
      <xdr:rowOff>163286</xdr:rowOff>
    </xdr:from>
    <xdr:to>
      <xdr:col>13</xdr:col>
      <xdr:colOff>598713</xdr:colOff>
      <xdr:row>22</xdr:row>
      <xdr:rowOff>2</xdr:rowOff>
    </xdr:to>
    <xdr:sp macro="" textlink="">
      <xdr:nvSpPr>
        <xdr:cNvPr id="43" name="TextBox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2B000000}"/>
            </a:ext>
          </a:extLst>
        </xdr:cNvPr>
        <xdr:cNvSpPr txBox="1"/>
      </xdr:nvSpPr>
      <xdr:spPr>
        <a:xfrm>
          <a:off x="8041821" y="4544786"/>
          <a:ext cx="186417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Modified/Modified</a:t>
          </a:r>
        </a:p>
      </xdr:txBody>
    </xdr:sp>
    <xdr:clientData/>
  </xdr:twoCellAnchor>
  <xdr:twoCellAnchor>
    <xdr:from>
      <xdr:col>6</xdr:col>
      <xdr:colOff>238125</xdr:colOff>
      <xdr:row>5</xdr:row>
      <xdr:rowOff>38100</xdr:rowOff>
    </xdr:from>
    <xdr:to>
      <xdr:col>14</xdr:col>
      <xdr:colOff>373741</xdr:colOff>
      <xdr:row>8</xdr:row>
      <xdr:rowOff>130023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2900-00002D000000}"/>
            </a:ext>
          </a:extLst>
        </xdr:cNvPr>
        <xdr:cNvSpPr txBox="1"/>
      </xdr:nvSpPr>
      <xdr:spPr>
        <a:xfrm>
          <a:off x="3895725" y="990600"/>
          <a:ext cx="4517116" cy="6634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Market</a:t>
          </a:r>
          <a:r>
            <a:rPr lang="en-US" sz="18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/Portfolio</a:t>
          </a:r>
          <a:endParaRPr lang="en-US" sz="18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182335</xdr:colOff>
      <xdr:row>1</xdr:row>
      <xdr:rowOff>4080</xdr:rowOff>
    </xdr:from>
    <xdr:to>
      <xdr:col>2</xdr:col>
      <xdr:colOff>16630</xdr:colOff>
      <xdr:row>5</xdr:row>
      <xdr:rowOff>182940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82335" y="194580"/>
          <a:ext cx="1058938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11</xdr:col>
      <xdr:colOff>226787</xdr:colOff>
      <xdr:row>1</xdr:row>
      <xdr:rowOff>144840</xdr:rowOff>
    </xdr:from>
    <xdr:to>
      <xdr:col>21</xdr:col>
      <xdr:colOff>36286</xdr:colOff>
      <xdr:row>5</xdr:row>
      <xdr:rowOff>49591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/>
      </xdr:nvSpPr>
      <xdr:spPr>
        <a:xfrm>
          <a:off x="5860144" y="335340"/>
          <a:ext cx="5932713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Congruity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of Thoughts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2</xdr:col>
      <xdr:colOff>299962</xdr:colOff>
      <xdr:row>45</xdr:row>
      <xdr:rowOff>120347</xdr:rowOff>
    </xdr:from>
    <xdr:to>
      <xdr:col>7</xdr:col>
      <xdr:colOff>315837</xdr:colOff>
      <xdr:row>51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/>
      </xdr:nvSpPr>
      <xdr:spPr>
        <a:xfrm>
          <a:off x="299962" y="12121847"/>
          <a:ext cx="182562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6</xdr:col>
      <xdr:colOff>224517</xdr:colOff>
      <xdr:row>11</xdr:row>
      <xdr:rowOff>13607</xdr:rowOff>
    </xdr:from>
    <xdr:to>
      <xdr:col>8</xdr:col>
      <xdr:colOff>312963</xdr:colOff>
      <xdr:row>18</xdr:row>
      <xdr:rowOff>1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 txBox="1"/>
      </xdr:nvSpPr>
      <xdr:spPr>
        <a:xfrm>
          <a:off x="3898446" y="2109107"/>
          <a:ext cx="1313088" cy="131989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1.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Series A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Targets</a:t>
          </a:r>
        </a:p>
      </xdr:txBody>
    </xdr:sp>
    <xdr:clientData/>
  </xdr:twoCellAnchor>
  <xdr:twoCellAnchor>
    <xdr:from>
      <xdr:col>10</xdr:col>
      <xdr:colOff>100693</xdr:colOff>
      <xdr:row>11</xdr:row>
      <xdr:rowOff>81643</xdr:rowOff>
    </xdr:from>
    <xdr:to>
      <xdr:col>12</xdr:col>
      <xdr:colOff>152400</xdr:colOff>
      <xdr:row>17</xdr:row>
      <xdr:rowOff>111579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 txBox="1"/>
      </xdr:nvSpPr>
      <xdr:spPr>
        <a:xfrm>
          <a:off x="4509407" y="4463143"/>
          <a:ext cx="1276350" cy="117293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2.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Strategic Thrust</a:t>
          </a:r>
        </a:p>
      </xdr:txBody>
    </xdr:sp>
    <xdr:clientData/>
  </xdr:twoCellAnchor>
  <xdr:twoCellAnchor>
    <xdr:from>
      <xdr:col>16</xdr:col>
      <xdr:colOff>121101</xdr:colOff>
      <xdr:row>11</xdr:row>
      <xdr:rowOff>59870</xdr:rowOff>
    </xdr:from>
    <xdr:to>
      <xdr:col>18</xdr:col>
      <xdr:colOff>272142</xdr:colOff>
      <xdr:row>17</xdr:row>
      <xdr:rowOff>87086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8203744" y="4441370"/>
          <a:ext cx="1375684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4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. Business Models</a:t>
          </a:r>
        </a:p>
      </xdr:txBody>
    </xdr:sp>
    <xdr:clientData/>
  </xdr:twoCellAnchor>
  <xdr:twoCellAnchor>
    <xdr:from>
      <xdr:col>8</xdr:col>
      <xdr:colOff>312963</xdr:colOff>
      <xdr:row>14</xdr:row>
      <xdr:rowOff>96611</xdr:rowOff>
    </xdr:from>
    <xdr:to>
      <xdr:col>10</xdr:col>
      <xdr:colOff>100693</xdr:colOff>
      <xdr:row>14</xdr:row>
      <xdr:rowOff>102054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2A00-000016000000}"/>
            </a:ext>
          </a:extLst>
        </xdr:cNvPr>
        <xdr:cNvCxnSpPr>
          <a:stCxn id="5" idx="3"/>
          <a:endCxn id="6" idx="1"/>
        </xdr:cNvCxnSpPr>
      </xdr:nvCxnSpPr>
      <xdr:spPr>
        <a:xfrm flipV="1">
          <a:off x="5211534" y="2763611"/>
          <a:ext cx="522516" cy="54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272144</xdr:colOff>
      <xdr:row>14</xdr:row>
      <xdr:rowOff>68037</xdr:rowOff>
    </xdr:from>
    <xdr:to>
      <xdr:col>16</xdr:col>
      <xdr:colOff>121101</xdr:colOff>
      <xdr:row>14</xdr:row>
      <xdr:rowOff>68037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2A00-00001A000000}"/>
            </a:ext>
          </a:extLst>
        </xdr:cNvPr>
        <xdr:cNvCxnSpPr>
          <a:stCxn id="49" idx="3"/>
          <a:endCxn id="7" idx="1"/>
        </xdr:cNvCxnSpPr>
      </xdr:nvCxnSpPr>
      <xdr:spPr>
        <a:xfrm>
          <a:off x="8967108" y="2735037"/>
          <a:ext cx="46127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13606</xdr:colOff>
      <xdr:row>11</xdr:row>
      <xdr:rowOff>54429</xdr:rowOff>
    </xdr:from>
    <xdr:to>
      <xdr:col>15</xdr:col>
      <xdr:colOff>272144</xdr:colOff>
      <xdr:row>17</xdr:row>
      <xdr:rowOff>81645</xdr:rowOff>
    </xdr:to>
    <xdr:sp macro="" textlink="">
      <xdr:nvSpPr>
        <xdr:cNvPr id="49" name="TextBox 4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31000000}"/>
            </a:ext>
          </a:extLst>
        </xdr:cNvPr>
        <xdr:cNvSpPr txBox="1"/>
      </xdr:nvSpPr>
      <xdr:spPr>
        <a:xfrm>
          <a:off x="6259285" y="2149929"/>
          <a:ext cx="1483180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3.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Business Development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Strategy</a:t>
          </a:r>
        </a:p>
      </xdr:txBody>
    </xdr:sp>
    <xdr:clientData/>
  </xdr:twoCellAnchor>
  <xdr:twoCellAnchor>
    <xdr:from>
      <xdr:col>12</xdr:col>
      <xdr:colOff>152400</xdr:colOff>
      <xdr:row>14</xdr:row>
      <xdr:rowOff>68037</xdr:rowOff>
    </xdr:from>
    <xdr:to>
      <xdr:col>13</xdr:col>
      <xdr:colOff>13606</xdr:colOff>
      <xdr:row>14</xdr:row>
      <xdr:rowOff>68037</xdr:rowOff>
    </xdr:to>
    <xdr:cxnSp macro="">
      <xdr:nvCxnSpPr>
        <xdr:cNvPr id="50" name="Straight Arrow Connector 49">
          <a:extLst>
            <a:ext uri="{FF2B5EF4-FFF2-40B4-BE49-F238E27FC236}">
              <a16:creationId xmlns:a16="http://schemas.microsoft.com/office/drawing/2014/main" id="{00000000-0008-0000-2A00-000032000000}"/>
            </a:ext>
          </a:extLst>
        </xdr:cNvPr>
        <xdr:cNvCxnSpPr>
          <a:stCxn id="6" idx="3"/>
          <a:endCxn id="49" idx="1"/>
        </xdr:cNvCxnSpPr>
      </xdr:nvCxnSpPr>
      <xdr:spPr>
        <a:xfrm flipV="1">
          <a:off x="7010400" y="2735037"/>
          <a:ext cx="47352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81642</xdr:colOff>
      <xdr:row>11</xdr:row>
      <xdr:rowOff>13607</xdr:rowOff>
    </xdr:from>
    <xdr:to>
      <xdr:col>21</xdr:col>
      <xdr:colOff>449035</xdr:colOff>
      <xdr:row>17</xdr:row>
      <xdr:rowOff>40823</xdr:rowOff>
    </xdr:to>
    <xdr:sp macro="" textlink="">
      <xdr:nvSpPr>
        <xdr:cNvPr id="77" name="TextBox 7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4D000000}"/>
            </a:ext>
          </a:extLst>
        </xdr:cNvPr>
        <xdr:cNvSpPr txBox="1"/>
      </xdr:nvSpPr>
      <xdr:spPr>
        <a:xfrm>
          <a:off x="9388928" y="4395107"/>
          <a:ext cx="159203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5. Implementation</a:t>
          </a:r>
        </a:p>
      </xdr:txBody>
    </xdr:sp>
    <xdr:clientData/>
  </xdr:twoCellAnchor>
  <xdr:twoCellAnchor>
    <xdr:from>
      <xdr:col>18</xdr:col>
      <xdr:colOff>274865</xdr:colOff>
      <xdr:row>14</xdr:row>
      <xdr:rowOff>35378</xdr:rowOff>
    </xdr:from>
    <xdr:to>
      <xdr:col>19</xdr:col>
      <xdr:colOff>110214</xdr:colOff>
      <xdr:row>14</xdr:row>
      <xdr:rowOff>43544</xdr:rowOff>
    </xdr:to>
    <xdr:cxnSp macro="">
      <xdr:nvCxnSpPr>
        <xdr:cNvPr id="78" name="Straight Arrow Connector 77">
          <a:extLst>
            <a:ext uri="{FF2B5EF4-FFF2-40B4-BE49-F238E27FC236}">
              <a16:creationId xmlns:a16="http://schemas.microsoft.com/office/drawing/2014/main" id="{00000000-0008-0000-2A00-00004E000000}"/>
            </a:ext>
          </a:extLst>
        </xdr:cNvPr>
        <xdr:cNvCxnSpPr/>
      </xdr:nvCxnSpPr>
      <xdr:spPr>
        <a:xfrm flipV="1">
          <a:off x="8969829" y="4988378"/>
          <a:ext cx="447671" cy="816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326571</xdr:colOff>
      <xdr:row>11</xdr:row>
      <xdr:rowOff>0</xdr:rowOff>
    </xdr:from>
    <xdr:to>
      <xdr:col>24</xdr:col>
      <xdr:colOff>585107</xdr:colOff>
      <xdr:row>17</xdr:row>
      <xdr:rowOff>27216</xdr:rowOff>
    </xdr:to>
    <xdr:sp macro="" textlink="">
      <xdr:nvSpPr>
        <xdr:cNvPr id="79" name="TextBox 7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A00-00004F000000}"/>
            </a:ext>
          </a:extLst>
        </xdr:cNvPr>
        <xdr:cNvSpPr txBox="1"/>
      </xdr:nvSpPr>
      <xdr:spPr>
        <a:xfrm>
          <a:off x="12083142" y="2095500"/>
          <a:ext cx="1483179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6.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Outcomes</a:t>
          </a:r>
        </a:p>
      </xdr:txBody>
    </xdr:sp>
    <xdr:clientData/>
  </xdr:twoCellAnchor>
  <xdr:twoCellAnchor>
    <xdr:from>
      <xdr:col>21</xdr:col>
      <xdr:colOff>449035</xdr:colOff>
      <xdr:row>14</xdr:row>
      <xdr:rowOff>13608</xdr:rowOff>
    </xdr:from>
    <xdr:to>
      <xdr:col>22</xdr:col>
      <xdr:colOff>326571</xdr:colOff>
      <xdr:row>14</xdr:row>
      <xdr:rowOff>13608</xdr:rowOff>
    </xdr:to>
    <xdr:cxnSp macro="">
      <xdr:nvCxnSpPr>
        <xdr:cNvPr id="80" name="Straight Arrow Connector 79">
          <a:extLst>
            <a:ext uri="{FF2B5EF4-FFF2-40B4-BE49-F238E27FC236}">
              <a16:creationId xmlns:a16="http://schemas.microsoft.com/office/drawing/2014/main" id="{00000000-0008-0000-2A00-000050000000}"/>
            </a:ext>
          </a:extLst>
        </xdr:cNvPr>
        <xdr:cNvCxnSpPr>
          <a:stCxn id="77" idx="3"/>
          <a:endCxn id="79" idx="1"/>
        </xdr:cNvCxnSpPr>
      </xdr:nvCxnSpPr>
      <xdr:spPr>
        <a:xfrm flipV="1">
          <a:off x="12817928" y="2680608"/>
          <a:ext cx="48985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544286</xdr:colOff>
      <xdr:row>23</xdr:row>
      <xdr:rowOff>81643</xdr:rowOff>
    </xdr:from>
    <xdr:to>
      <xdr:col>17</xdr:col>
      <xdr:colOff>571500</xdr:colOff>
      <xdr:row>29</xdr:row>
      <xdr:rowOff>108859</xdr:rowOff>
    </xdr:to>
    <xdr:sp macro="" textlink="">
      <xdr:nvSpPr>
        <xdr:cNvPr id="90" name="TextBox 8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A00-00005A000000}"/>
            </a:ext>
          </a:extLst>
        </xdr:cNvPr>
        <xdr:cNvSpPr txBox="1"/>
      </xdr:nvSpPr>
      <xdr:spPr>
        <a:xfrm>
          <a:off x="8626929" y="4463143"/>
          <a:ext cx="186417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7.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GAP Analysis</a:t>
          </a:r>
        </a:p>
      </xdr:txBody>
    </xdr:sp>
    <xdr:clientData/>
  </xdr:twoCellAnchor>
  <xdr:twoCellAnchor>
    <xdr:from>
      <xdr:col>17</xdr:col>
      <xdr:colOff>571501</xdr:colOff>
      <xdr:row>17</xdr:row>
      <xdr:rowOff>27215</xdr:rowOff>
    </xdr:from>
    <xdr:to>
      <xdr:col>23</xdr:col>
      <xdr:colOff>455840</xdr:colOff>
      <xdr:row>26</xdr:row>
      <xdr:rowOff>95250</xdr:rowOff>
    </xdr:to>
    <xdr:cxnSp macro="">
      <xdr:nvCxnSpPr>
        <xdr:cNvPr id="252" name="Connector: Elbow 251">
          <a:extLst>
            <a:ext uri="{FF2B5EF4-FFF2-40B4-BE49-F238E27FC236}">
              <a16:creationId xmlns:a16="http://schemas.microsoft.com/office/drawing/2014/main" id="{00000000-0008-0000-2A00-0000FC000000}"/>
            </a:ext>
          </a:extLst>
        </xdr:cNvPr>
        <xdr:cNvCxnSpPr>
          <a:stCxn id="79" idx="2"/>
          <a:endCxn id="90" idx="3"/>
        </xdr:cNvCxnSpPr>
      </xdr:nvCxnSpPr>
      <xdr:spPr>
        <a:xfrm rot="5400000">
          <a:off x="11378974" y="2377849"/>
          <a:ext cx="1782535" cy="3558268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268741</xdr:colOff>
      <xdr:row>18</xdr:row>
      <xdr:rowOff>1</xdr:rowOff>
    </xdr:from>
    <xdr:to>
      <xdr:col>14</xdr:col>
      <xdr:colOff>544287</xdr:colOff>
      <xdr:row>26</xdr:row>
      <xdr:rowOff>95251</xdr:rowOff>
    </xdr:to>
    <xdr:cxnSp macro="">
      <xdr:nvCxnSpPr>
        <xdr:cNvPr id="94" name="Connector: Elbow 93">
          <a:extLst>
            <a:ext uri="{FF2B5EF4-FFF2-40B4-BE49-F238E27FC236}">
              <a16:creationId xmlns:a16="http://schemas.microsoft.com/office/drawing/2014/main" id="{00000000-0008-0000-2A00-00005E000000}"/>
            </a:ext>
          </a:extLst>
        </xdr:cNvPr>
        <xdr:cNvCxnSpPr>
          <a:stCxn id="90" idx="1"/>
          <a:endCxn id="5" idx="2"/>
        </xdr:cNvCxnSpPr>
      </xdr:nvCxnSpPr>
      <xdr:spPr>
        <a:xfrm rot="10800000">
          <a:off x="4554991" y="3429001"/>
          <a:ext cx="4071939" cy="1619250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1</xdr:row>
      <xdr:rowOff>14287</xdr:rowOff>
    </xdr:from>
    <xdr:to>
      <xdr:col>39</xdr:col>
      <xdr:colOff>1</xdr:colOff>
      <xdr:row>14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14</xdr:row>
      <xdr:rowOff>38100</xdr:rowOff>
    </xdr:from>
    <xdr:to>
      <xdr:col>39</xdr:col>
      <xdr:colOff>0</xdr:colOff>
      <xdr:row>28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</xdr:row>
      <xdr:rowOff>19050</xdr:rowOff>
    </xdr:from>
    <xdr:to>
      <xdr:col>9</xdr:col>
      <xdr:colOff>266700</xdr:colOff>
      <xdr:row>21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4</xdr:row>
      <xdr:rowOff>0</xdr:rowOff>
    </xdr:from>
    <xdr:to>
      <xdr:col>15</xdr:col>
      <xdr:colOff>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523875</xdr:colOff>
      <xdr:row>45</xdr:row>
      <xdr:rowOff>21431</xdr:rowOff>
    </xdr:from>
    <xdr:to>
      <xdr:col>4</xdr:col>
      <xdr:colOff>619125</xdr:colOff>
      <xdr:row>65</xdr:row>
      <xdr:rowOff>97631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85725</xdr:colOff>
      <xdr:row>44</xdr:row>
      <xdr:rowOff>185737</xdr:rowOff>
    </xdr:from>
    <xdr:to>
      <xdr:col>10</xdr:col>
      <xdr:colOff>219075</xdr:colOff>
      <xdr:row>65</xdr:row>
      <xdr:rowOff>71437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390526</xdr:colOff>
      <xdr:row>110</xdr:row>
      <xdr:rowOff>157162</xdr:rowOff>
    </xdr:from>
    <xdr:to>
      <xdr:col>2</xdr:col>
      <xdr:colOff>628650</xdr:colOff>
      <xdr:row>134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809625</xdr:colOff>
      <xdr:row>181</xdr:row>
      <xdr:rowOff>9524</xdr:rowOff>
    </xdr:from>
    <xdr:to>
      <xdr:col>3</xdr:col>
      <xdr:colOff>685800</xdr:colOff>
      <xdr:row>205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514350</xdr:colOff>
      <xdr:row>73</xdr:row>
      <xdr:rowOff>9525</xdr:rowOff>
    </xdr:from>
    <xdr:to>
      <xdr:col>4</xdr:col>
      <xdr:colOff>47625</xdr:colOff>
      <xdr:row>101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</xdr:col>
      <xdr:colOff>695325</xdr:colOff>
      <xdr:row>155</xdr:row>
      <xdr:rowOff>0</xdr:rowOff>
    </xdr:from>
    <xdr:to>
      <xdr:col>8</xdr:col>
      <xdr:colOff>391626</xdr:colOff>
      <xdr:row>180</xdr:row>
      <xdr:rowOff>4985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40605" y="28971240"/>
          <a:ext cx="4016841" cy="4576985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155</xdr:row>
      <xdr:rowOff>0</xdr:rowOff>
    </xdr:from>
    <xdr:to>
      <xdr:col>3</xdr:col>
      <xdr:colOff>639276</xdr:colOff>
      <xdr:row>180</xdr:row>
      <xdr:rowOff>4985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0100" y="28971240"/>
          <a:ext cx="4030176" cy="4576985"/>
        </a:xfrm>
        <a:prstGeom prst="rect">
          <a:avLst/>
        </a:prstGeom>
      </xdr:spPr>
    </xdr:pic>
    <xdr:clientData/>
  </xdr:twoCellAnchor>
  <xdr:twoCellAnchor>
    <xdr:from>
      <xdr:col>5</xdr:col>
      <xdr:colOff>628650</xdr:colOff>
      <xdr:row>185</xdr:row>
      <xdr:rowOff>47624</xdr:rowOff>
    </xdr:from>
    <xdr:to>
      <xdr:col>9</xdr:col>
      <xdr:colOff>304800</xdr:colOff>
      <xdr:row>191</xdr:row>
      <xdr:rowOff>95249</xdr:rowOff>
    </xdr:to>
    <xdr:sp macro="" textlink="">
      <xdr:nvSpPr>
        <xdr:cNvPr id="11" name="Rounded Rectangle 14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SpPr/>
      </xdr:nvSpPr>
      <xdr:spPr>
        <a:xfrm>
          <a:off x="6374130" y="34505264"/>
          <a:ext cx="3288030" cy="114490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Note:</a:t>
          </a:r>
          <a:r>
            <a:rPr lang="en-US" sz="1400" baseline="0"/>
            <a:t> this chart is live and will change if you alter the Churn rate in the model. the other two graphs above show fixed churn values, so will not update.</a:t>
          </a:r>
          <a:endParaRPr lang="en-US" sz="1400"/>
        </a:p>
      </xdr:txBody>
    </xdr:sp>
    <xdr:clientData/>
  </xdr:twoCellAnchor>
  <xdr:twoCellAnchor>
    <xdr:from>
      <xdr:col>4</xdr:col>
      <xdr:colOff>114300</xdr:colOff>
      <xdr:row>187</xdr:row>
      <xdr:rowOff>123825</xdr:rowOff>
    </xdr:from>
    <xdr:to>
      <xdr:col>5</xdr:col>
      <xdr:colOff>533400</xdr:colOff>
      <xdr:row>189</xdr:row>
      <xdr:rowOff>0</xdr:rowOff>
    </xdr:to>
    <xdr:sp macro="" textlink="">
      <xdr:nvSpPr>
        <xdr:cNvPr id="12" name="Left Arrow 15"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SpPr/>
      </xdr:nvSpPr>
      <xdr:spPr>
        <a:xfrm>
          <a:off x="5059680" y="34947225"/>
          <a:ext cx="1219200" cy="24193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0.12917</cdr:x>
      <cdr:y>0.36286</cdr:y>
    </cdr:from>
    <cdr:to>
      <cdr:x>0.75208</cdr:x>
      <cdr:y>0.91143</cdr:y>
    </cdr:to>
    <cdr:sp macro="" textlink="">
      <cdr:nvSpPr>
        <cdr:cNvPr id="3" name="Rounded Rectangle 2"/>
        <cdr:cNvSpPr/>
      </cdr:nvSpPr>
      <cdr:spPr>
        <a:xfrm xmlns:a="http://schemas.openxmlformats.org/drawingml/2006/main">
          <a:off x="590565" y="1209675"/>
          <a:ext cx="2847960" cy="1828805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0.3125</cdr:x>
      <cdr:y>0.77614</cdr:y>
    </cdr:from>
    <cdr:to>
      <cdr:x>0.67085</cdr:x>
      <cdr:y>0.86957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28750" y="2587461"/>
          <a:ext cx="1638376" cy="311473"/>
        </a:xfrm>
        <a:prstGeom xmlns:a="http://schemas.openxmlformats.org/drawingml/2006/main" prst="rect">
          <a:avLst/>
        </a:prstGeom>
        <a:solidFill xmlns:a="http://schemas.openxmlformats.org/drawingml/2006/main">
          <a:srgbClr val="C00000"/>
        </a:solidFill>
      </cdr:spPr>
      <cdr:txBody>
        <a:bodyPr xmlns:a="http://schemas.openxmlformats.org/drawingml/2006/main" vertOverflow="clip" horzOverflow="clip" wrap="none" lIns="91440" rtlCol="0" anchor="ctr" anchorCtr="0">
          <a:spAutoFit/>
        </a:bodyPr>
        <a:lstStyle xmlns:a="http://schemas.openxmlformats.org/drawingml/2006/main"/>
        <a:p xmlns:a="http://schemas.openxmlformats.org/drawingml/2006/main">
          <a:r>
            <a:rPr lang="en-US" sz="1400" b="1">
              <a:solidFill>
                <a:schemeClr val="bg1"/>
              </a:solidFill>
            </a:rPr>
            <a:t>Negative Cash Flow</a:t>
          </a:r>
          <a:endParaRPr lang="en-US" sz="1400" b="1">
            <a:solidFill>
              <a:srgbClr val="FF0000"/>
            </a:solidFill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7</xdr:row>
      <xdr:rowOff>23812</xdr:rowOff>
    </xdr:from>
    <xdr:to>
      <xdr:col>7</xdr:col>
      <xdr:colOff>38438</xdr:colOff>
      <xdr:row>29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63398</xdr:colOff>
      <xdr:row>13</xdr:row>
      <xdr:rowOff>142875</xdr:rowOff>
    </xdr:from>
    <xdr:to>
      <xdr:col>6</xdr:col>
      <xdr:colOff>451104</xdr:colOff>
      <xdr:row>21</xdr:row>
      <xdr:rowOff>67284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1869338" y="2520315"/>
          <a:ext cx="2193646" cy="1387449"/>
        </a:xfrm>
        <a:custGeom>
          <a:avLst/>
          <a:gdLst>
            <a:gd name="connsiteX0" fmla="*/ 0 w 2216506"/>
            <a:gd name="connsiteY0" fmla="*/ 0 h 1448409"/>
            <a:gd name="connsiteX1" fmla="*/ 2209190 w 2216506"/>
            <a:gd name="connsiteY1" fmla="*/ 0 h 1448409"/>
            <a:gd name="connsiteX2" fmla="*/ 2216506 w 2216506"/>
            <a:gd name="connsiteY2" fmla="*/ 358444 h 1448409"/>
            <a:gd name="connsiteX3" fmla="*/ 0 w 2216506"/>
            <a:gd name="connsiteY3" fmla="*/ 1448409 h 1448409"/>
            <a:gd name="connsiteX0" fmla="*/ 0 w 2216506"/>
            <a:gd name="connsiteY0" fmla="*/ 0 h 1448409"/>
            <a:gd name="connsiteX1" fmla="*/ 2209190 w 2216506"/>
            <a:gd name="connsiteY1" fmla="*/ 0 h 1448409"/>
            <a:gd name="connsiteX2" fmla="*/ 2216506 w 2216506"/>
            <a:gd name="connsiteY2" fmla="*/ 358444 h 1448409"/>
            <a:gd name="connsiteX3" fmla="*/ 0 w 2216506"/>
            <a:gd name="connsiteY3" fmla="*/ 1448409 h 1448409"/>
            <a:gd name="connsiteX4" fmla="*/ 0 w 2216506"/>
            <a:gd name="connsiteY4" fmla="*/ 0 h 1448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216506" h="1448409">
              <a:moveTo>
                <a:pt x="0" y="0"/>
              </a:moveTo>
              <a:lnTo>
                <a:pt x="2209190" y="0"/>
              </a:lnTo>
              <a:lnTo>
                <a:pt x="2216506" y="358444"/>
              </a:lnTo>
              <a:lnTo>
                <a:pt x="0" y="1448409"/>
              </a:lnTo>
              <a:lnTo>
                <a:pt x="0" y="0"/>
              </a:lnTo>
              <a:close/>
            </a:path>
          </a:pathLst>
        </a:cu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2</xdr:col>
      <xdr:colOff>0</xdr:colOff>
      <xdr:row>5</xdr:row>
      <xdr:rowOff>0</xdr:rowOff>
    </xdr:from>
    <xdr:to>
      <xdr:col>9</xdr:col>
      <xdr:colOff>304800</xdr:colOff>
      <xdr:row>22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18287</xdr:colOff>
      <xdr:row>9</xdr:row>
      <xdr:rowOff>87401</xdr:rowOff>
    </xdr:from>
    <xdr:to>
      <xdr:col>8</xdr:col>
      <xdr:colOff>142646</xdr:colOff>
      <xdr:row>11</xdr:row>
      <xdr:rowOff>79477</xdr:rowOff>
    </xdr:to>
    <xdr:sp macro="" textlink="">
      <xdr:nvSpPr>
        <xdr:cNvPr id="4" name="Line Callout 2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3028187" y="1733321"/>
          <a:ext cx="1930299" cy="357836"/>
        </a:xfrm>
        <a:prstGeom prst="borderCallout2">
          <a:avLst>
            <a:gd name="adj1" fmla="val 18750"/>
            <a:gd name="adj2" fmla="val 2903"/>
            <a:gd name="adj3" fmla="val 18750"/>
            <a:gd name="adj4" fmla="val -16667"/>
            <a:gd name="adj5" fmla="val 218382"/>
            <a:gd name="adj6" fmla="val -32435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/>
            <a:t>Cash Flow Trough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</xdr:row>
      <xdr:rowOff>0</xdr:rowOff>
    </xdr:from>
    <xdr:to>
      <xdr:col>25</xdr:col>
      <xdr:colOff>0</xdr:colOff>
      <xdr:row>23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11907</xdr:colOff>
      <xdr:row>15</xdr:row>
      <xdr:rowOff>121442</xdr:rowOff>
    </xdr:from>
    <xdr:to>
      <xdr:col>31</xdr:col>
      <xdr:colOff>11907</xdr:colOff>
      <xdr:row>24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</xdr:colOff>
      <xdr:row>41</xdr:row>
      <xdr:rowOff>0</xdr:rowOff>
    </xdr:from>
    <xdr:to>
      <xdr:col>21</xdr:col>
      <xdr:colOff>404813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59531</xdr:colOff>
      <xdr:row>40</xdr:row>
      <xdr:rowOff>180975</xdr:rowOff>
    </xdr:from>
    <xdr:to>
      <xdr:col>31</xdr:col>
      <xdr:colOff>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24</xdr:row>
      <xdr:rowOff>190500</xdr:rowOff>
    </xdr:from>
    <xdr:to>
      <xdr:col>25</xdr:col>
      <xdr:colOff>0</xdr:colOff>
      <xdr:row>40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47624</xdr:colOff>
      <xdr:row>121</xdr:row>
      <xdr:rowOff>19050</xdr:rowOff>
    </xdr:from>
    <xdr:to>
      <xdr:col>25</xdr:col>
      <xdr:colOff>47624</xdr:colOff>
      <xdr:row>134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47624</xdr:colOff>
      <xdr:row>135</xdr:row>
      <xdr:rowOff>47625</xdr:rowOff>
    </xdr:from>
    <xdr:to>
      <xdr:col>22</xdr:col>
      <xdr:colOff>514349</xdr:colOff>
      <xdr:row>147</xdr:row>
      <xdr:rowOff>57150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57149</xdr:colOff>
      <xdr:row>135</xdr:row>
      <xdr:rowOff>47625</xdr:rowOff>
    </xdr:from>
    <xdr:to>
      <xdr:col>28</xdr:col>
      <xdr:colOff>57149</xdr:colOff>
      <xdr:row>147</xdr:row>
      <xdr:rowOff>47625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2380</xdr:colOff>
      <xdr:row>4</xdr:row>
      <xdr:rowOff>19050</xdr:rowOff>
    </xdr:from>
    <xdr:to>
      <xdr:col>31</xdr:col>
      <xdr:colOff>2380</xdr:colOff>
      <xdr:row>15</xdr:row>
      <xdr:rowOff>11906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0</xdr:colOff>
      <xdr:row>152</xdr:row>
      <xdr:rowOff>0</xdr:rowOff>
    </xdr:from>
    <xdr:to>
      <xdr:col>22</xdr:col>
      <xdr:colOff>457199</xdr:colOff>
      <xdr:row>163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19050</xdr:colOff>
      <xdr:row>152</xdr:row>
      <xdr:rowOff>0</xdr:rowOff>
    </xdr:from>
    <xdr:to>
      <xdr:col>28</xdr:col>
      <xdr:colOff>0</xdr:colOff>
      <xdr:row>163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142876</xdr:colOff>
      <xdr:row>56</xdr:row>
      <xdr:rowOff>123825</xdr:rowOff>
    </xdr:from>
    <xdr:to>
      <xdr:col>22</xdr:col>
      <xdr:colOff>600076</xdr:colOff>
      <xdr:row>70</xdr:row>
      <xdr:rowOff>104775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3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171450</xdr:colOff>
      <xdr:row>64</xdr:row>
      <xdr:rowOff>57150</xdr:rowOff>
    </xdr:from>
    <xdr:to>
      <xdr:col>30</xdr:col>
      <xdr:colOff>600075</xdr:colOff>
      <xdr:row>78</xdr:row>
      <xdr:rowOff>114300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3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142875</xdr:colOff>
      <xdr:row>71</xdr:row>
      <xdr:rowOff>114300</xdr:rowOff>
    </xdr:from>
    <xdr:to>
      <xdr:col>22</xdr:col>
      <xdr:colOff>600075</xdr:colOff>
      <xdr:row>85</xdr:row>
      <xdr:rowOff>180975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79</xdr:row>
      <xdr:rowOff>114300</xdr:rowOff>
    </xdr:from>
    <xdr:to>
      <xdr:col>31</xdr:col>
      <xdr:colOff>0</xdr:colOff>
      <xdr:row>94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0</xdr:colOff>
      <xdr:row>87</xdr:row>
      <xdr:rowOff>0</xdr:rowOff>
    </xdr:from>
    <xdr:to>
      <xdr:col>23</xdr:col>
      <xdr:colOff>0</xdr:colOff>
      <xdr:row>101</xdr:row>
      <xdr:rowOff>76200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3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514350</xdr:colOff>
      <xdr:row>67</xdr:row>
      <xdr:rowOff>133350</xdr:rowOff>
    </xdr:from>
    <xdr:to>
      <xdr:col>24</xdr:col>
      <xdr:colOff>57150</xdr:colOff>
      <xdr:row>74</xdr:row>
      <xdr:rowOff>19050</xdr:rowOff>
    </xdr:to>
    <xdr:sp macro="" textlink="">
      <xdr:nvSpPr>
        <xdr:cNvPr id="18" name="Curved Left Arrow 17">
          <a:extLst>
            <a:ext uri="{FF2B5EF4-FFF2-40B4-BE49-F238E27FC236}">
              <a16:creationId xmlns:a16="http://schemas.microsoft.com/office/drawing/2014/main" id="{00000000-0008-0000-3700-000012000000}"/>
            </a:ext>
          </a:extLst>
        </xdr:cNvPr>
        <xdr:cNvSpPr/>
      </xdr:nvSpPr>
      <xdr:spPr>
        <a:xfrm>
          <a:off x="14626590" y="12759690"/>
          <a:ext cx="350520" cy="1173480"/>
        </a:xfrm>
        <a:prstGeom prst="curvedLeftArrow">
          <a:avLst>
            <a:gd name="adj1" fmla="val 25000"/>
            <a:gd name="adj2" fmla="val 67682"/>
            <a:gd name="adj3" fmla="val 4785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514350</xdr:colOff>
      <xdr:row>83</xdr:row>
      <xdr:rowOff>104775</xdr:rowOff>
    </xdr:from>
    <xdr:to>
      <xdr:col>24</xdr:col>
      <xdr:colOff>57150</xdr:colOff>
      <xdr:row>90</xdr:row>
      <xdr:rowOff>0</xdr:rowOff>
    </xdr:to>
    <xdr:sp macro="" textlink="">
      <xdr:nvSpPr>
        <xdr:cNvPr id="19" name="Curved Left Arrow 18">
          <a:extLst>
            <a:ext uri="{FF2B5EF4-FFF2-40B4-BE49-F238E27FC236}">
              <a16:creationId xmlns:a16="http://schemas.microsoft.com/office/drawing/2014/main" id="{00000000-0008-0000-3700-000013000000}"/>
            </a:ext>
          </a:extLst>
        </xdr:cNvPr>
        <xdr:cNvSpPr/>
      </xdr:nvSpPr>
      <xdr:spPr>
        <a:xfrm>
          <a:off x="14626590" y="15672435"/>
          <a:ext cx="350520" cy="1175385"/>
        </a:xfrm>
        <a:prstGeom prst="curvedLeftArrow">
          <a:avLst>
            <a:gd name="adj1" fmla="val 25000"/>
            <a:gd name="adj2" fmla="val 67682"/>
            <a:gd name="adj3" fmla="val 4785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9526</xdr:colOff>
      <xdr:row>54</xdr:row>
      <xdr:rowOff>152400</xdr:rowOff>
    </xdr:from>
    <xdr:to>
      <xdr:col>31</xdr:col>
      <xdr:colOff>19050</xdr:colOff>
      <xdr:row>56</xdr:row>
      <xdr:rowOff>38100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3700-000014000000}"/>
            </a:ext>
          </a:extLst>
        </xdr:cNvPr>
        <xdr:cNvSpPr/>
      </xdr:nvSpPr>
      <xdr:spPr>
        <a:xfrm>
          <a:off x="11713846" y="10378440"/>
          <a:ext cx="6517004" cy="2514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Funnel Metrics (your</a:t>
          </a:r>
          <a:r>
            <a:rPr lang="en-US" sz="1200" b="1" baseline="0"/>
            <a:t> key funnel stages will likely vary)</a:t>
          </a:r>
          <a:endParaRPr lang="en-US" sz="1200" b="1"/>
        </a:p>
      </xdr:txBody>
    </xdr:sp>
    <xdr:clientData/>
  </xdr:twoCellAnchor>
  <xdr:twoCellAnchor>
    <xdr:from>
      <xdr:col>18</xdr:col>
      <xdr:colOff>0</xdr:colOff>
      <xdr:row>119</xdr:row>
      <xdr:rowOff>0</xdr:rowOff>
    </xdr:from>
    <xdr:to>
      <xdr:col>31</xdr:col>
      <xdr:colOff>9524</xdr:colOff>
      <xdr:row>120</xdr:row>
      <xdr:rowOff>76200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3700-000015000000}"/>
            </a:ext>
          </a:extLst>
        </xdr:cNvPr>
        <xdr:cNvSpPr/>
      </xdr:nvSpPr>
      <xdr:spPr>
        <a:xfrm>
          <a:off x="11704320" y="22151340"/>
          <a:ext cx="6517004" cy="2590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Unit</a:t>
          </a:r>
          <a:r>
            <a:rPr lang="en-US" sz="1200" b="1" baseline="0"/>
            <a:t> Economics</a:t>
          </a:r>
          <a:endParaRPr lang="en-US" sz="1200" b="1"/>
        </a:p>
      </xdr:txBody>
    </xdr:sp>
    <xdr:clientData/>
  </xdr:twoCellAnchor>
  <xdr:twoCellAnchor>
    <xdr:from>
      <xdr:col>18</xdr:col>
      <xdr:colOff>9525</xdr:colOff>
      <xdr:row>102</xdr:row>
      <xdr:rowOff>114300</xdr:rowOff>
    </xdr:from>
    <xdr:to>
      <xdr:col>23</xdr:col>
      <xdr:colOff>0</xdr:colOff>
      <xdr:row>117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3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0</xdr:colOff>
      <xdr:row>102</xdr:row>
      <xdr:rowOff>114300</xdr:rowOff>
    </xdr:from>
    <xdr:to>
      <xdr:col>31</xdr:col>
      <xdr:colOff>0</xdr:colOff>
      <xdr:row>117</xdr:row>
      <xdr:rowOff>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3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0</xdr:colOff>
      <xdr:row>149</xdr:row>
      <xdr:rowOff>104775</xdr:rowOff>
    </xdr:from>
    <xdr:to>
      <xdr:col>31</xdr:col>
      <xdr:colOff>9524</xdr:colOff>
      <xdr:row>150</xdr:row>
      <xdr:rowOff>180975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3700-000018000000}"/>
            </a:ext>
          </a:extLst>
        </xdr:cNvPr>
        <xdr:cNvSpPr/>
      </xdr:nvSpPr>
      <xdr:spPr>
        <a:xfrm>
          <a:off x="11704320" y="27742515"/>
          <a:ext cx="6517004" cy="2590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Customer</a:t>
          </a:r>
          <a:r>
            <a:rPr lang="en-US" sz="1200" b="1" baseline="0"/>
            <a:t> Engagement and Customer Happiness  (both are churn predictors)</a:t>
          </a:r>
          <a:endParaRPr lang="en-US" sz="1200" b="1"/>
        </a:p>
      </xdr:txBody>
    </xdr:sp>
    <xdr:clientData/>
  </xdr:twoCellAnchor>
  <xdr:twoCellAnchor>
    <xdr:from>
      <xdr:col>18</xdr:col>
      <xdr:colOff>9526</xdr:colOff>
      <xdr:row>0</xdr:row>
      <xdr:rowOff>133350</xdr:rowOff>
    </xdr:from>
    <xdr:to>
      <xdr:col>31</xdr:col>
      <xdr:colOff>19050</xdr:colOff>
      <xdr:row>1</xdr:row>
      <xdr:rowOff>114300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3700-000019000000}"/>
            </a:ext>
          </a:extLst>
        </xdr:cNvPr>
        <xdr:cNvSpPr/>
      </xdr:nvSpPr>
      <xdr:spPr>
        <a:xfrm>
          <a:off x="11713846" y="133350"/>
          <a:ext cx="6517004" cy="33147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Bookings Metrics</a:t>
          </a:r>
        </a:p>
      </xdr:txBody>
    </xdr:sp>
    <xdr:clientData/>
  </xdr:twoCellAnchor>
  <xdr:twoCellAnchor>
    <xdr:from>
      <xdr:col>21</xdr:col>
      <xdr:colOff>511970</xdr:colOff>
      <xdr:row>41</xdr:row>
      <xdr:rowOff>0</xdr:rowOff>
    </xdr:from>
    <xdr:to>
      <xdr:col>26</xdr:col>
      <xdr:colOff>511969</xdr:colOff>
      <xdr:row>54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3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17861</xdr:colOff>
      <xdr:row>25</xdr:row>
      <xdr:rowOff>0</xdr:rowOff>
    </xdr:from>
    <xdr:to>
      <xdr:col>31</xdr:col>
      <xdr:colOff>1</xdr:colOff>
      <xdr:row>40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3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604158</xdr:colOff>
      <xdr:row>1</xdr:row>
      <xdr:rowOff>72116</xdr:rowOff>
    </xdr:from>
    <xdr:to>
      <xdr:col>2</xdr:col>
      <xdr:colOff>438452</xdr:colOff>
      <xdr:row>6</xdr:row>
      <xdr:rowOff>60476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04158" y="262616"/>
          <a:ext cx="1053494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8</xdr:col>
      <xdr:colOff>322038</xdr:colOff>
      <xdr:row>1</xdr:row>
      <xdr:rowOff>63198</xdr:rowOff>
    </xdr:from>
    <xdr:to>
      <xdr:col>21</xdr:col>
      <xdr:colOff>353787</xdr:colOff>
      <xdr:row>4</xdr:row>
      <xdr:rowOff>158449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220609" y="253698"/>
          <a:ext cx="7991928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Gap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Analysis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299962</xdr:colOff>
      <xdr:row>57</xdr:row>
      <xdr:rowOff>120347</xdr:rowOff>
    </xdr:from>
    <xdr:to>
      <xdr:col>5</xdr:col>
      <xdr:colOff>315837</xdr:colOff>
      <xdr:row>63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09562" y="10978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14</xdr:col>
      <xdr:colOff>344259</xdr:colOff>
      <xdr:row>31</xdr:row>
      <xdr:rowOff>0</xdr:rowOff>
    </xdr:from>
    <xdr:to>
      <xdr:col>16</xdr:col>
      <xdr:colOff>432705</xdr:colOff>
      <xdr:row>37</xdr:row>
      <xdr:rowOff>10884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269059" y="5905500"/>
          <a:ext cx="1307646" cy="1153884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10. OperationalDelivery</a:t>
          </a:r>
        </a:p>
      </xdr:txBody>
    </xdr:sp>
    <xdr:clientData/>
  </xdr:twoCellAnchor>
  <xdr:twoCellAnchor>
    <xdr:from>
      <xdr:col>8</xdr:col>
      <xdr:colOff>153760</xdr:colOff>
      <xdr:row>8</xdr:row>
      <xdr:rowOff>78921</xdr:rowOff>
    </xdr:from>
    <xdr:to>
      <xdr:col>10</xdr:col>
      <xdr:colOff>242205</xdr:colOff>
      <xdr:row>14</xdr:row>
      <xdr:rowOff>106137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5052331" y="1602921"/>
          <a:ext cx="131308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5. Positioning</a:t>
          </a:r>
        </a:p>
      </xdr:txBody>
    </xdr:sp>
    <xdr:clientData/>
  </xdr:twoCellAnchor>
  <xdr:twoCellAnchor>
    <xdr:from>
      <xdr:col>14</xdr:col>
      <xdr:colOff>340177</xdr:colOff>
      <xdr:row>12</xdr:row>
      <xdr:rowOff>149680</xdr:rowOff>
    </xdr:from>
    <xdr:to>
      <xdr:col>16</xdr:col>
      <xdr:colOff>428623</xdr:colOff>
      <xdr:row>18</xdr:row>
      <xdr:rowOff>176896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8264977" y="2435680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8. Expectations of Experience</a:t>
          </a:r>
        </a:p>
      </xdr:txBody>
    </xdr:sp>
    <xdr:clientData/>
  </xdr:twoCellAnchor>
  <xdr:twoCellAnchor>
    <xdr:from>
      <xdr:col>11</xdr:col>
      <xdr:colOff>224515</xdr:colOff>
      <xdr:row>8</xdr:row>
      <xdr:rowOff>68033</xdr:rowOff>
    </xdr:from>
    <xdr:to>
      <xdr:col>13</xdr:col>
      <xdr:colOff>285751</xdr:colOff>
      <xdr:row>14</xdr:row>
      <xdr:rowOff>95249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6320515" y="1592033"/>
          <a:ext cx="128043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6. Message Content and Delivery</a:t>
          </a:r>
        </a:p>
      </xdr:txBody>
    </xdr:sp>
    <xdr:clientData/>
  </xdr:twoCellAnchor>
  <xdr:twoCellAnchor>
    <xdr:from>
      <xdr:col>17</xdr:col>
      <xdr:colOff>308429</xdr:colOff>
      <xdr:row>21</xdr:row>
      <xdr:rowOff>158751</xdr:rowOff>
    </xdr:from>
    <xdr:to>
      <xdr:col>19</xdr:col>
      <xdr:colOff>396875</xdr:colOff>
      <xdr:row>27</xdr:row>
      <xdr:rowOff>185967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0062029" y="415925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12. Gap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Analysis</a:t>
          </a:r>
        </a:p>
      </xdr:txBody>
    </xdr:sp>
    <xdr:clientData/>
  </xdr:twoCellAnchor>
  <xdr:twoCellAnchor>
    <xdr:from>
      <xdr:col>14</xdr:col>
      <xdr:colOff>340178</xdr:colOff>
      <xdr:row>21</xdr:row>
      <xdr:rowOff>136073</xdr:rowOff>
    </xdr:from>
    <xdr:to>
      <xdr:col>16</xdr:col>
      <xdr:colOff>428624</xdr:colOff>
      <xdr:row>27</xdr:row>
      <xdr:rowOff>163289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8264978" y="4136573"/>
          <a:ext cx="1307646" cy="117021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9. Moment of Truth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(Choice)</a:t>
          </a:r>
        </a:p>
      </xdr:txBody>
    </xdr:sp>
    <xdr:clientData/>
  </xdr:twoCellAnchor>
  <xdr:twoCellAnchor>
    <xdr:from>
      <xdr:col>15</xdr:col>
      <xdr:colOff>384401</xdr:colOff>
      <xdr:row>18</xdr:row>
      <xdr:rowOff>176896</xdr:rowOff>
    </xdr:from>
    <xdr:to>
      <xdr:col>15</xdr:col>
      <xdr:colOff>384402</xdr:colOff>
      <xdr:row>21</xdr:row>
      <xdr:rowOff>136073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>
          <a:stCxn id="7" idx="2"/>
          <a:endCxn id="10" idx="0"/>
        </xdr:cNvCxnSpPr>
      </xdr:nvCxnSpPr>
      <xdr:spPr>
        <a:xfrm>
          <a:off x="8918801" y="3605896"/>
          <a:ext cx="1" cy="53067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303894</xdr:colOff>
      <xdr:row>31</xdr:row>
      <xdr:rowOff>0</xdr:rowOff>
    </xdr:from>
    <xdr:to>
      <xdr:col>19</xdr:col>
      <xdr:colOff>392340</xdr:colOff>
      <xdr:row>37</xdr:row>
      <xdr:rowOff>15877</xdr:rowOff>
    </xdr:to>
    <xdr:sp macro="" textlink="">
      <xdr:nvSpPr>
        <xdr:cNvPr id="12" name="Text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0057494" y="5905500"/>
          <a:ext cx="1307646" cy="115887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11. Actual  Experience</a:t>
          </a:r>
        </a:p>
      </xdr:txBody>
    </xdr:sp>
    <xdr:clientData/>
  </xdr:twoCellAnchor>
  <xdr:twoCellAnchor>
    <xdr:from>
      <xdr:col>18</xdr:col>
      <xdr:colOff>348117</xdr:colOff>
      <xdr:row>27</xdr:row>
      <xdr:rowOff>185968</xdr:rowOff>
    </xdr:from>
    <xdr:to>
      <xdr:col>18</xdr:col>
      <xdr:colOff>352652</xdr:colOff>
      <xdr:row>31</xdr:row>
      <xdr:rowOff>0</xdr:rowOff>
    </xdr:to>
    <xdr:cxnSp macro="">
      <xdr:nvCxnSpPr>
        <xdr:cNvPr id="13" name="Elbow Connector 8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>
          <a:stCxn id="12" idx="0"/>
          <a:endCxn id="9" idx="2"/>
        </xdr:cNvCxnSpPr>
      </xdr:nvCxnSpPr>
      <xdr:spPr>
        <a:xfrm rot="5400000" flipH="1" flipV="1">
          <a:off x="10425569" y="5615216"/>
          <a:ext cx="576032" cy="4535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428623</xdr:colOff>
      <xdr:row>15</xdr:row>
      <xdr:rowOff>163288</xdr:rowOff>
    </xdr:from>
    <xdr:to>
      <xdr:col>18</xdr:col>
      <xdr:colOff>352653</xdr:colOff>
      <xdr:row>21</xdr:row>
      <xdr:rowOff>158751</xdr:rowOff>
    </xdr:to>
    <xdr:cxnSp macro="">
      <xdr:nvCxnSpPr>
        <xdr:cNvPr id="14" name="Elbow Connector 8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>
          <a:stCxn id="7" idx="3"/>
          <a:endCxn id="9" idx="0"/>
        </xdr:cNvCxnSpPr>
      </xdr:nvCxnSpPr>
      <xdr:spPr>
        <a:xfrm>
          <a:off x="9572623" y="3020788"/>
          <a:ext cx="1143230" cy="1138463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374196</xdr:colOff>
      <xdr:row>21</xdr:row>
      <xdr:rowOff>161018</xdr:rowOff>
    </xdr:from>
    <xdr:to>
      <xdr:col>22</xdr:col>
      <xdr:colOff>462642</xdr:colOff>
      <xdr:row>27</xdr:row>
      <xdr:rowOff>188234</xdr:rowOff>
    </xdr:to>
    <xdr:sp macro="" textlink="">
      <xdr:nvSpPr>
        <xdr:cNvPr id="15" name="TextBox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1956596" y="4161518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Lucida Bright" panose="02040602050505020304" pitchFamily="18" charset="0"/>
              <a:ea typeface="+mn-ea"/>
              <a:cs typeface="+mn-cs"/>
            </a:rPr>
            <a:t>13. Remedy</a:t>
          </a:r>
        </a:p>
      </xdr:txBody>
    </xdr:sp>
    <xdr:clientData/>
  </xdr:twoCellAnchor>
  <xdr:twoCellAnchor>
    <xdr:from>
      <xdr:col>19</xdr:col>
      <xdr:colOff>396875</xdr:colOff>
      <xdr:row>24</xdr:row>
      <xdr:rowOff>172359</xdr:rowOff>
    </xdr:from>
    <xdr:to>
      <xdr:col>20</xdr:col>
      <xdr:colOff>374196</xdr:colOff>
      <xdr:row>24</xdr:row>
      <xdr:rowOff>174626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>
          <a:stCxn id="9" idx="3"/>
          <a:endCxn id="15" idx="1"/>
        </xdr:cNvCxnSpPr>
      </xdr:nvCxnSpPr>
      <xdr:spPr>
        <a:xfrm>
          <a:off x="11369675" y="4744359"/>
          <a:ext cx="586921" cy="226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303894</xdr:colOff>
      <xdr:row>40</xdr:row>
      <xdr:rowOff>52161</xdr:rowOff>
    </xdr:from>
    <xdr:to>
      <xdr:col>19</xdr:col>
      <xdr:colOff>392340</xdr:colOff>
      <xdr:row>46</xdr:row>
      <xdr:rowOff>79377</xdr:rowOff>
    </xdr:to>
    <xdr:sp macro="" textlink="">
      <xdr:nvSpPr>
        <xdr:cNvPr id="17" name="TextBox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0057494" y="767216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14. Retention and LVC</a:t>
          </a:r>
        </a:p>
      </xdr:txBody>
    </xdr:sp>
    <xdr:clientData/>
  </xdr:twoCellAnchor>
  <xdr:twoCellAnchor>
    <xdr:from>
      <xdr:col>18</xdr:col>
      <xdr:colOff>348118</xdr:colOff>
      <xdr:row>37</xdr:row>
      <xdr:rowOff>15877</xdr:rowOff>
    </xdr:from>
    <xdr:to>
      <xdr:col>18</xdr:col>
      <xdr:colOff>348118</xdr:colOff>
      <xdr:row>40</xdr:row>
      <xdr:rowOff>52161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CxnSpPr>
          <a:stCxn id="12" idx="2"/>
          <a:endCxn id="17" idx="0"/>
        </xdr:cNvCxnSpPr>
      </xdr:nvCxnSpPr>
      <xdr:spPr>
        <a:xfrm>
          <a:off x="10711318" y="7064377"/>
          <a:ext cx="0" cy="6077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464911</xdr:colOff>
      <xdr:row>40</xdr:row>
      <xdr:rowOff>52162</xdr:rowOff>
    </xdr:from>
    <xdr:to>
      <xdr:col>22</xdr:col>
      <xdr:colOff>553357</xdr:colOff>
      <xdr:row>46</xdr:row>
      <xdr:rowOff>79378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047311" y="7672162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15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.Financial Performance</a:t>
          </a:r>
        </a:p>
      </xdr:txBody>
    </xdr:sp>
    <xdr:clientData/>
  </xdr:twoCellAnchor>
  <xdr:twoCellAnchor>
    <xdr:from>
      <xdr:col>19</xdr:col>
      <xdr:colOff>392340</xdr:colOff>
      <xdr:row>43</xdr:row>
      <xdr:rowOff>65769</xdr:rowOff>
    </xdr:from>
    <xdr:to>
      <xdr:col>20</xdr:col>
      <xdr:colOff>464911</xdr:colOff>
      <xdr:row>43</xdr:row>
      <xdr:rowOff>65770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>
          <a:stCxn id="17" idx="3"/>
          <a:endCxn id="19" idx="1"/>
        </xdr:cNvCxnSpPr>
      </xdr:nvCxnSpPr>
      <xdr:spPr>
        <a:xfrm>
          <a:off x="11365140" y="8257269"/>
          <a:ext cx="682171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392341</xdr:colOff>
      <xdr:row>27</xdr:row>
      <xdr:rowOff>188233</xdr:rowOff>
    </xdr:from>
    <xdr:to>
      <xdr:col>21</xdr:col>
      <xdr:colOff>418420</xdr:colOff>
      <xdr:row>34</xdr:row>
      <xdr:rowOff>2268</xdr:rowOff>
    </xdr:to>
    <xdr:cxnSp macro="">
      <xdr:nvCxnSpPr>
        <xdr:cNvPr id="21" name="Elbow Connector 12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CxnSpPr>
          <a:stCxn id="15" idx="2"/>
          <a:endCxn id="12" idx="3"/>
        </xdr:cNvCxnSpPr>
      </xdr:nvCxnSpPr>
      <xdr:spPr>
        <a:xfrm rot="5400000">
          <a:off x="11414013" y="5282861"/>
          <a:ext cx="1147535" cy="124527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204106</xdr:colOff>
      <xdr:row>17</xdr:row>
      <xdr:rowOff>68036</xdr:rowOff>
    </xdr:from>
    <xdr:to>
      <xdr:col>13</xdr:col>
      <xdr:colOff>292553</xdr:colOff>
      <xdr:row>23</xdr:row>
      <xdr:rowOff>95252</xdr:rowOff>
    </xdr:to>
    <xdr:sp macro="" textlink="">
      <xdr:nvSpPr>
        <xdr:cNvPr id="22" name="TextBox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6300106" y="3306536"/>
          <a:ext cx="1307647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7. Acquisition 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Sequence</a:t>
          </a:r>
        </a:p>
      </xdr:txBody>
    </xdr:sp>
    <xdr:clientData/>
  </xdr:twoCellAnchor>
  <xdr:twoCellAnchor>
    <xdr:from>
      <xdr:col>15</xdr:col>
      <xdr:colOff>384402</xdr:colOff>
      <xdr:row>27</xdr:row>
      <xdr:rowOff>163289</xdr:rowOff>
    </xdr:from>
    <xdr:to>
      <xdr:col>15</xdr:col>
      <xdr:colOff>388483</xdr:colOff>
      <xdr:row>31</xdr:row>
      <xdr:rowOff>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CxnSpPr>
          <a:stCxn id="10" idx="2"/>
          <a:endCxn id="5" idx="0"/>
        </xdr:cNvCxnSpPr>
      </xdr:nvCxnSpPr>
      <xdr:spPr>
        <a:xfrm>
          <a:off x="8918802" y="5306789"/>
          <a:ext cx="4081" cy="5987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285751</xdr:colOff>
      <xdr:row>11</xdr:row>
      <xdr:rowOff>81641</xdr:rowOff>
    </xdr:from>
    <xdr:to>
      <xdr:col>15</xdr:col>
      <xdr:colOff>384401</xdr:colOff>
      <xdr:row>12</xdr:row>
      <xdr:rowOff>149680</xdr:rowOff>
    </xdr:to>
    <xdr:cxnSp macro="">
      <xdr:nvCxnSpPr>
        <xdr:cNvPr id="24" name="Elbow Connector 15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CxnSpPr>
          <a:stCxn id="8" idx="3"/>
          <a:endCxn id="7" idx="0"/>
        </xdr:cNvCxnSpPr>
      </xdr:nvCxnSpPr>
      <xdr:spPr>
        <a:xfrm>
          <a:off x="7600951" y="2177141"/>
          <a:ext cx="1317850" cy="25853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248330</xdr:colOff>
      <xdr:row>23</xdr:row>
      <xdr:rowOff>95251</xdr:rowOff>
    </xdr:from>
    <xdr:to>
      <xdr:col>14</xdr:col>
      <xdr:colOff>340179</xdr:colOff>
      <xdr:row>24</xdr:row>
      <xdr:rowOff>149680</xdr:rowOff>
    </xdr:to>
    <xdr:cxnSp macro="">
      <xdr:nvCxnSpPr>
        <xdr:cNvPr id="25" name="Elbow Connector 223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CxnSpPr>
          <a:stCxn id="22" idx="2"/>
          <a:endCxn id="10" idx="1"/>
        </xdr:cNvCxnSpPr>
      </xdr:nvCxnSpPr>
      <xdr:spPr>
        <a:xfrm rot="16200000" flipH="1">
          <a:off x="7486990" y="3943691"/>
          <a:ext cx="244929" cy="131104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248329</xdr:colOff>
      <xdr:row>14</xdr:row>
      <xdr:rowOff>95249</xdr:rowOff>
    </xdr:from>
    <xdr:to>
      <xdr:col>12</xdr:col>
      <xdr:colOff>255133</xdr:colOff>
      <xdr:row>17</xdr:row>
      <xdr:rowOff>68036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>
          <a:stCxn id="8" idx="2"/>
          <a:endCxn id="22" idx="0"/>
        </xdr:cNvCxnSpPr>
      </xdr:nvCxnSpPr>
      <xdr:spPr>
        <a:xfrm flipH="1">
          <a:off x="6953929" y="2762249"/>
          <a:ext cx="6804" cy="54428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432705</xdr:colOff>
      <xdr:row>33</xdr:row>
      <xdr:rowOff>187776</xdr:rowOff>
    </xdr:from>
    <xdr:to>
      <xdr:col>17</xdr:col>
      <xdr:colOff>303894</xdr:colOff>
      <xdr:row>34</xdr:row>
      <xdr:rowOff>2269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CxnSpPr>
          <a:stCxn id="5" idx="3"/>
          <a:endCxn id="12" idx="1"/>
        </xdr:cNvCxnSpPr>
      </xdr:nvCxnSpPr>
      <xdr:spPr>
        <a:xfrm>
          <a:off x="9576705" y="6474276"/>
          <a:ext cx="480789" cy="49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242205</xdr:colOff>
      <xdr:row>11</xdr:row>
      <xdr:rowOff>81641</xdr:rowOff>
    </xdr:from>
    <xdr:to>
      <xdr:col>11</xdr:col>
      <xdr:colOff>224515</xdr:colOff>
      <xdr:row>11</xdr:row>
      <xdr:rowOff>92529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CxnSpPr>
          <a:stCxn id="6" idx="3"/>
          <a:endCxn id="8" idx="1"/>
        </xdr:cNvCxnSpPr>
      </xdr:nvCxnSpPr>
      <xdr:spPr>
        <a:xfrm flipV="1">
          <a:off x="6365419" y="2177141"/>
          <a:ext cx="594632" cy="1088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0.46563</cdr:x>
      <cdr:y>0.20695</cdr:y>
    </cdr:from>
    <cdr:to>
      <cdr:x>0.66563</cdr:x>
      <cdr:y>0.27641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28838" y="681038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New</a:t>
          </a:r>
          <a:r>
            <a:rPr lang="en-US" sz="1100" baseline="0"/>
            <a:t> MRR</a:t>
          </a:r>
          <a:endParaRPr lang="en-US" sz="1100"/>
        </a:p>
      </cdr:txBody>
    </cdr:sp>
  </cdr:relSizeAnchor>
  <cdr:relSizeAnchor xmlns:cdr="http://schemas.openxmlformats.org/drawingml/2006/chartDrawing">
    <cdr:from>
      <cdr:x>0.45938</cdr:x>
      <cdr:y>0.40872</cdr:y>
    </cdr:from>
    <cdr:to>
      <cdr:x>0.65938</cdr:x>
      <cdr:y>0.47818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00285" y="1426815"/>
          <a:ext cx="914400" cy="2424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Net New </a:t>
          </a:r>
          <a:r>
            <a:rPr lang="en-US" sz="1100" baseline="0"/>
            <a:t>MRR</a:t>
          </a:r>
          <a:endParaRPr lang="en-US" sz="1100"/>
        </a:p>
      </cdr:txBody>
    </cdr:sp>
  </cdr:relSizeAnchor>
  <cdr:relSizeAnchor xmlns:cdr="http://schemas.openxmlformats.org/drawingml/2006/chartDrawing">
    <cdr:from>
      <cdr:x>0.45105</cdr:x>
      <cdr:y>0.57394</cdr:y>
    </cdr:from>
    <cdr:to>
      <cdr:x>0.65105</cdr:x>
      <cdr:y>0.64341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062185" y="2003570"/>
          <a:ext cx="914400" cy="2425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Expansion </a:t>
          </a:r>
          <a:r>
            <a:rPr lang="en-US" sz="1100" baseline="0"/>
            <a:t>MRR</a:t>
          </a:r>
          <a:endParaRPr lang="en-US" sz="1100"/>
        </a:p>
      </cdr:txBody>
    </cdr:sp>
  </cdr:relSizeAnchor>
  <cdr:relSizeAnchor xmlns:cdr="http://schemas.openxmlformats.org/drawingml/2006/chartDrawing">
    <cdr:from>
      <cdr:x>0.44271</cdr:x>
      <cdr:y>0.85379</cdr:y>
    </cdr:from>
    <cdr:to>
      <cdr:x>0.64271</cdr:x>
      <cdr:y>0.92326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24070" y="2980495"/>
          <a:ext cx="914400" cy="2425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Churned </a:t>
          </a:r>
          <a:r>
            <a:rPr lang="en-US" sz="1100" baseline="0"/>
            <a:t>MRR</a:t>
          </a:r>
          <a:endParaRPr lang="en-US" sz="1100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2</xdr:row>
      <xdr:rowOff>0</xdr:rowOff>
    </xdr:from>
    <xdr:to>
      <xdr:col>25</xdr:col>
      <xdr:colOff>0</xdr:colOff>
      <xdr:row>20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11907</xdr:colOff>
      <xdr:row>13</xdr:row>
      <xdr:rowOff>121442</xdr:rowOff>
    </xdr:from>
    <xdr:to>
      <xdr:col>31</xdr:col>
      <xdr:colOff>11907</xdr:colOff>
      <xdr:row>21</xdr:row>
      <xdr:rowOff>23813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38</xdr:row>
      <xdr:rowOff>180975</xdr:rowOff>
    </xdr:from>
    <xdr:to>
      <xdr:col>31</xdr:col>
      <xdr:colOff>0</xdr:colOff>
      <xdr:row>51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21</xdr:row>
      <xdr:rowOff>190500</xdr:rowOff>
    </xdr:from>
    <xdr:to>
      <xdr:col>25</xdr:col>
      <xdr:colOff>0</xdr:colOff>
      <xdr:row>38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47624</xdr:colOff>
      <xdr:row>125</xdr:row>
      <xdr:rowOff>19050</xdr:rowOff>
    </xdr:from>
    <xdr:to>
      <xdr:col>25</xdr:col>
      <xdr:colOff>47624</xdr:colOff>
      <xdr:row>138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47624</xdr:colOff>
      <xdr:row>139</xdr:row>
      <xdr:rowOff>47625</xdr:rowOff>
    </xdr:from>
    <xdr:to>
      <xdr:col>22</xdr:col>
      <xdr:colOff>514349</xdr:colOff>
      <xdr:row>151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57149</xdr:colOff>
      <xdr:row>139</xdr:row>
      <xdr:rowOff>47625</xdr:rowOff>
    </xdr:from>
    <xdr:to>
      <xdr:col>28</xdr:col>
      <xdr:colOff>57149</xdr:colOff>
      <xdr:row>151</xdr:row>
      <xdr:rowOff>47625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2380</xdr:colOff>
      <xdr:row>2</xdr:row>
      <xdr:rowOff>19050</xdr:rowOff>
    </xdr:from>
    <xdr:to>
      <xdr:col>31</xdr:col>
      <xdr:colOff>2380</xdr:colOff>
      <xdr:row>13</xdr:row>
      <xdr:rowOff>11906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0</xdr:colOff>
      <xdr:row>156</xdr:row>
      <xdr:rowOff>0</xdr:rowOff>
    </xdr:from>
    <xdr:to>
      <xdr:col>22</xdr:col>
      <xdr:colOff>457199</xdr:colOff>
      <xdr:row>167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19050</xdr:colOff>
      <xdr:row>156</xdr:row>
      <xdr:rowOff>0</xdr:rowOff>
    </xdr:from>
    <xdr:to>
      <xdr:col>28</xdr:col>
      <xdr:colOff>0</xdr:colOff>
      <xdr:row>167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142876</xdr:colOff>
      <xdr:row>54</xdr:row>
      <xdr:rowOff>123825</xdr:rowOff>
    </xdr:from>
    <xdr:to>
      <xdr:col>22</xdr:col>
      <xdr:colOff>600076</xdr:colOff>
      <xdr:row>68</xdr:row>
      <xdr:rowOff>104775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171450</xdr:colOff>
      <xdr:row>62</xdr:row>
      <xdr:rowOff>57150</xdr:rowOff>
    </xdr:from>
    <xdr:to>
      <xdr:col>30</xdr:col>
      <xdr:colOff>600075</xdr:colOff>
      <xdr:row>76</xdr:row>
      <xdr:rowOff>114300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142875</xdr:colOff>
      <xdr:row>69</xdr:row>
      <xdr:rowOff>114300</xdr:rowOff>
    </xdr:from>
    <xdr:to>
      <xdr:col>22</xdr:col>
      <xdr:colOff>600075</xdr:colOff>
      <xdr:row>83</xdr:row>
      <xdr:rowOff>180975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77</xdr:row>
      <xdr:rowOff>114300</xdr:rowOff>
    </xdr:from>
    <xdr:to>
      <xdr:col>31</xdr:col>
      <xdr:colOff>0</xdr:colOff>
      <xdr:row>92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0</xdr:colOff>
      <xdr:row>85</xdr:row>
      <xdr:rowOff>0</xdr:rowOff>
    </xdr:from>
    <xdr:to>
      <xdr:col>23</xdr:col>
      <xdr:colOff>0</xdr:colOff>
      <xdr:row>99</xdr:row>
      <xdr:rowOff>76200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514350</xdr:colOff>
      <xdr:row>65</xdr:row>
      <xdr:rowOff>133350</xdr:rowOff>
    </xdr:from>
    <xdr:to>
      <xdr:col>24</xdr:col>
      <xdr:colOff>57150</xdr:colOff>
      <xdr:row>72</xdr:row>
      <xdr:rowOff>19050</xdr:rowOff>
    </xdr:to>
    <xdr:sp macro="" textlink="">
      <xdr:nvSpPr>
        <xdr:cNvPr id="17" name="Curved Left Arrow 17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SpPr/>
      </xdr:nvSpPr>
      <xdr:spPr>
        <a:xfrm>
          <a:off x="14763750" y="12317730"/>
          <a:ext cx="350520" cy="1173480"/>
        </a:xfrm>
        <a:prstGeom prst="curvedLeftArrow">
          <a:avLst>
            <a:gd name="adj1" fmla="val 25000"/>
            <a:gd name="adj2" fmla="val 67682"/>
            <a:gd name="adj3" fmla="val 4785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514350</xdr:colOff>
      <xdr:row>81</xdr:row>
      <xdr:rowOff>104775</xdr:rowOff>
    </xdr:from>
    <xdr:to>
      <xdr:col>24</xdr:col>
      <xdr:colOff>57150</xdr:colOff>
      <xdr:row>88</xdr:row>
      <xdr:rowOff>0</xdr:rowOff>
    </xdr:to>
    <xdr:sp macro="" textlink="">
      <xdr:nvSpPr>
        <xdr:cNvPr id="18" name="Curved Left Arrow 18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SpPr/>
      </xdr:nvSpPr>
      <xdr:spPr>
        <a:xfrm>
          <a:off x="14763750" y="15230475"/>
          <a:ext cx="350520" cy="1175385"/>
        </a:xfrm>
        <a:prstGeom prst="curvedLeftArrow">
          <a:avLst>
            <a:gd name="adj1" fmla="val 25000"/>
            <a:gd name="adj2" fmla="val 67682"/>
            <a:gd name="adj3" fmla="val 4785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9526</xdr:colOff>
      <xdr:row>52</xdr:row>
      <xdr:rowOff>152400</xdr:rowOff>
    </xdr:from>
    <xdr:to>
      <xdr:col>31</xdr:col>
      <xdr:colOff>19050</xdr:colOff>
      <xdr:row>54</xdr:row>
      <xdr:rowOff>38100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SpPr/>
      </xdr:nvSpPr>
      <xdr:spPr>
        <a:xfrm>
          <a:off x="11851006" y="9936480"/>
          <a:ext cx="6517004" cy="25146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Funnel Metrics (your</a:t>
          </a:r>
          <a:r>
            <a:rPr lang="en-US" sz="1200" b="1" baseline="0"/>
            <a:t> key funnel stages will likely vary)</a:t>
          </a:r>
          <a:endParaRPr lang="en-US" sz="1200" b="1"/>
        </a:p>
      </xdr:txBody>
    </xdr:sp>
    <xdr:clientData/>
  </xdr:twoCellAnchor>
  <xdr:twoCellAnchor>
    <xdr:from>
      <xdr:col>18</xdr:col>
      <xdr:colOff>0</xdr:colOff>
      <xdr:row>123</xdr:row>
      <xdr:rowOff>0</xdr:rowOff>
    </xdr:from>
    <xdr:to>
      <xdr:col>31</xdr:col>
      <xdr:colOff>9524</xdr:colOff>
      <xdr:row>124</xdr:row>
      <xdr:rowOff>76200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SpPr/>
      </xdr:nvSpPr>
      <xdr:spPr>
        <a:xfrm>
          <a:off x="11841480" y="22806660"/>
          <a:ext cx="6517004" cy="2590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Unit</a:t>
          </a:r>
          <a:r>
            <a:rPr lang="en-US" sz="1200" b="1" baseline="0"/>
            <a:t> Economics</a:t>
          </a:r>
          <a:endParaRPr lang="en-US" sz="1200" b="1"/>
        </a:p>
      </xdr:txBody>
    </xdr:sp>
    <xdr:clientData/>
  </xdr:twoCellAnchor>
  <xdr:twoCellAnchor>
    <xdr:from>
      <xdr:col>18</xdr:col>
      <xdr:colOff>9526</xdr:colOff>
      <xdr:row>106</xdr:row>
      <xdr:rowOff>114300</xdr:rowOff>
    </xdr:from>
    <xdr:to>
      <xdr:col>21</xdr:col>
      <xdr:colOff>345282</xdr:colOff>
      <xdr:row>121</xdr:row>
      <xdr:rowOff>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476250</xdr:colOff>
      <xdr:row>106</xdr:row>
      <xdr:rowOff>114300</xdr:rowOff>
    </xdr:from>
    <xdr:to>
      <xdr:col>31</xdr:col>
      <xdr:colOff>0</xdr:colOff>
      <xdr:row>121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0</xdr:colOff>
      <xdr:row>153</xdr:row>
      <xdr:rowOff>104775</xdr:rowOff>
    </xdr:from>
    <xdr:to>
      <xdr:col>31</xdr:col>
      <xdr:colOff>9524</xdr:colOff>
      <xdr:row>154</xdr:row>
      <xdr:rowOff>180975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SpPr/>
      </xdr:nvSpPr>
      <xdr:spPr>
        <a:xfrm>
          <a:off x="11841480" y="28397835"/>
          <a:ext cx="6517004" cy="2590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Customer</a:t>
          </a:r>
          <a:r>
            <a:rPr lang="en-US" sz="1200" b="1" baseline="0"/>
            <a:t> Engagement and Customer Happiness  (both are churn predictors)</a:t>
          </a:r>
          <a:endParaRPr lang="en-US" sz="1200" b="1"/>
        </a:p>
      </xdr:txBody>
    </xdr:sp>
    <xdr:clientData/>
  </xdr:twoCellAnchor>
  <xdr:twoCellAnchor>
    <xdr:from>
      <xdr:col>18</xdr:col>
      <xdr:colOff>9526</xdr:colOff>
      <xdr:row>0</xdr:row>
      <xdr:rowOff>133350</xdr:rowOff>
    </xdr:from>
    <xdr:to>
      <xdr:col>31</xdr:col>
      <xdr:colOff>19050</xdr:colOff>
      <xdr:row>1</xdr:row>
      <xdr:rowOff>114300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SpPr/>
      </xdr:nvSpPr>
      <xdr:spPr>
        <a:xfrm>
          <a:off x="11851006" y="133350"/>
          <a:ext cx="6517004" cy="33147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/>
            <a:t>Bookings Metrics</a:t>
          </a:r>
        </a:p>
      </xdr:txBody>
    </xdr:sp>
    <xdr:clientData/>
  </xdr:twoCellAnchor>
  <xdr:twoCellAnchor>
    <xdr:from>
      <xdr:col>18</xdr:col>
      <xdr:colOff>0</xdr:colOff>
      <xdr:row>39</xdr:row>
      <xdr:rowOff>0</xdr:rowOff>
    </xdr:from>
    <xdr:to>
      <xdr:col>25</xdr:col>
      <xdr:colOff>0</xdr:colOff>
      <xdr:row>52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17861</xdr:colOff>
      <xdr:row>22</xdr:row>
      <xdr:rowOff>0</xdr:rowOff>
    </xdr:from>
    <xdr:to>
      <xdr:col>31</xdr:col>
      <xdr:colOff>1</xdr:colOff>
      <xdr:row>38</xdr:row>
      <xdr:rowOff>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488155</xdr:colOff>
      <xdr:row>106</xdr:row>
      <xdr:rowOff>122632</xdr:rowOff>
    </xdr:from>
    <xdr:to>
      <xdr:col>26</xdr:col>
      <xdr:colOff>345281</xdr:colOff>
      <xdr:row>121</xdr:row>
      <xdr:rowOff>8332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38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0</xdr:colOff>
      <xdr:row>93</xdr:row>
      <xdr:rowOff>0</xdr:rowOff>
    </xdr:from>
    <xdr:to>
      <xdr:col>31</xdr:col>
      <xdr:colOff>0</xdr:colOff>
      <xdr:row>106</xdr:row>
      <xdr:rowOff>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38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0.44694</cdr:x>
      <cdr:y>0.19397</cdr:y>
    </cdr:from>
    <cdr:to>
      <cdr:x>0.64694</cdr:x>
      <cdr:y>0.26343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8157" y="711779"/>
          <a:ext cx="764381" cy="2548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New</a:t>
          </a:r>
          <a:r>
            <a:rPr lang="en-US" sz="1100" baseline="0"/>
            <a:t> ARR</a:t>
          </a:r>
          <a:endParaRPr lang="en-US" sz="1100"/>
        </a:p>
      </cdr:txBody>
    </cdr:sp>
  </cdr:relSizeAnchor>
  <cdr:relSizeAnchor xmlns:cdr="http://schemas.openxmlformats.org/drawingml/2006/chartDrawing">
    <cdr:from>
      <cdr:x>0.50299</cdr:x>
      <cdr:y>0.3925</cdr:y>
    </cdr:from>
    <cdr:to>
      <cdr:x>0.70299</cdr:x>
      <cdr:y>0.46196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922395" y="1440268"/>
          <a:ext cx="764381" cy="2548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Net New</a:t>
          </a:r>
          <a:r>
            <a:rPr lang="en-US" sz="1100" baseline="0"/>
            <a:t> ARR</a:t>
          </a:r>
          <a:endParaRPr lang="en-US" sz="1100"/>
        </a:p>
      </cdr:txBody>
    </cdr:sp>
  </cdr:relSizeAnchor>
  <cdr:relSizeAnchor xmlns:cdr="http://schemas.openxmlformats.org/drawingml/2006/chartDrawing">
    <cdr:from>
      <cdr:x>0.40432</cdr:x>
      <cdr:y>0.57394</cdr:y>
    </cdr:from>
    <cdr:to>
      <cdr:x>0.60432</cdr:x>
      <cdr:y>0.64341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45277" y="2106075"/>
          <a:ext cx="764381" cy="254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Expansion ARR</a:t>
          </a:r>
        </a:p>
      </cdr:txBody>
    </cdr:sp>
  </cdr:relSizeAnchor>
  <cdr:relSizeAnchor xmlns:cdr="http://schemas.openxmlformats.org/drawingml/2006/chartDrawing">
    <cdr:from>
      <cdr:x>0.45517</cdr:x>
      <cdr:y>0.83432</cdr:y>
    </cdr:from>
    <cdr:to>
      <cdr:x>0.65517</cdr:x>
      <cdr:y>0.90372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929295" y="3078098"/>
          <a:ext cx="847725" cy="256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Churned </a:t>
          </a:r>
          <a:r>
            <a:rPr lang="en-US" sz="1100" baseline="0"/>
            <a:t>ARR</a:t>
          </a:r>
          <a:endParaRPr lang="en-U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59872</xdr:colOff>
      <xdr:row>0</xdr:row>
      <xdr:rowOff>167366</xdr:rowOff>
    </xdr:from>
    <xdr:to>
      <xdr:col>3</xdr:col>
      <xdr:colOff>506488</xdr:colOff>
      <xdr:row>5</xdr:row>
      <xdr:rowOff>155726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279072" y="167366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6</xdr:col>
      <xdr:colOff>77108</xdr:colOff>
      <xdr:row>2</xdr:row>
      <xdr:rowOff>63198</xdr:rowOff>
    </xdr:from>
    <xdr:to>
      <xdr:col>25</xdr:col>
      <xdr:colOff>122464</xdr:colOff>
      <xdr:row>5</xdr:row>
      <xdr:rowOff>158449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751037" y="444198"/>
          <a:ext cx="1150257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Implementation: 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Modified Market/ Modified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299962</xdr:colOff>
      <xdr:row>57</xdr:row>
      <xdr:rowOff>120347</xdr:rowOff>
    </xdr:from>
    <xdr:to>
      <xdr:col>4</xdr:col>
      <xdr:colOff>315837</xdr:colOff>
      <xdr:row>63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09562" y="10978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15</xdr:col>
      <xdr:colOff>344259</xdr:colOff>
      <xdr:row>31</xdr:row>
      <xdr:rowOff>0</xdr:rowOff>
    </xdr:from>
    <xdr:to>
      <xdr:col>17</xdr:col>
      <xdr:colOff>432705</xdr:colOff>
      <xdr:row>37</xdr:row>
      <xdr:rowOff>10884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3260159" y="5905500"/>
          <a:ext cx="1307646" cy="1153884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OperationalDelivery</a:t>
          </a:r>
        </a:p>
      </xdr:txBody>
    </xdr:sp>
    <xdr:clientData/>
  </xdr:twoCellAnchor>
  <xdr:twoCellAnchor>
    <xdr:from>
      <xdr:col>9</xdr:col>
      <xdr:colOff>140154</xdr:colOff>
      <xdr:row>8</xdr:row>
      <xdr:rowOff>65314</xdr:rowOff>
    </xdr:from>
    <xdr:to>
      <xdr:col>11</xdr:col>
      <xdr:colOff>228599</xdr:colOff>
      <xdr:row>14</xdr:row>
      <xdr:rowOff>92530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474154" y="1589314"/>
          <a:ext cx="131308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Positioning</a:t>
          </a:r>
        </a:p>
      </xdr:txBody>
    </xdr:sp>
    <xdr:clientData/>
  </xdr:twoCellAnchor>
  <xdr:twoCellAnchor>
    <xdr:from>
      <xdr:col>15</xdr:col>
      <xdr:colOff>340177</xdr:colOff>
      <xdr:row>12</xdr:row>
      <xdr:rowOff>149680</xdr:rowOff>
    </xdr:from>
    <xdr:to>
      <xdr:col>17</xdr:col>
      <xdr:colOff>428623</xdr:colOff>
      <xdr:row>18</xdr:row>
      <xdr:rowOff>176896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3256077" y="2435680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Expectations of Experience</a:t>
          </a:r>
        </a:p>
      </xdr:txBody>
    </xdr:sp>
    <xdr:clientData/>
  </xdr:twoCellAnchor>
  <xdr:twoCellAnchor>
    <xdr:from>
      <xdr:col>12</xdr:col>
      <xdr:colOff>224515</xdr:colOff>
      <xdr:row>8</xdr:row>
      <xdr:rowOff>68033</xdr:rowOff>
    </xdr:from>
    <xdr:to>
      <xdr:col>14</xdr:col>
      <xdr:colOff>285751</xdr:colOff>
      <xdr:row>14</xdr:row>
      <xdr:rowOff>95249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311615" y="1592033"/>
          <a:ext cx="128043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Message Content and Delivery</a:t>
          </a:r>
        </a:p>
      </xdr:txBody>
    </xdr:sp>
    <xdr:clientData/>
  </xdr:twoCellAnchor>
  <xdr:twoCellAnchor>
    <xdr:from>
      <xdr:col>18</xdr:col>
      <xdr:colOff>308429</xdr:colOff>
      <xdr:row>21</xdr:row>
      <xdr:rowOff>158751</xdr:rowOff>
    </xdr:from>
    <xdr:to>
      <xdr:col>20</xdr:col>
      <xdr:colOff>396875</xdr:colOff>
      <xdr:row>27</xdr:row>
      <xdr:rowOff>185967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5053129" y="415925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Gap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Analysis</a:t>
          </a:r>
        </a:p>
      </xdr:txBody>
    </xdr:sp>
    <xdr:clientData/>
  </xdr:twoCellAnchor>
  <xdr:twoCellAnchor>
    <xdr:from>
      <xdr:col>15</xdr:col>
      <xdr:colOff>340178</xdr:colOff>
      <xdr:row>21</xdr:row>
      <xdr:rowOff>136073</xdr:rowOff>
    </xdr:from>
    <xdr:to>
      <xdr:col>17</xdr:col>
      <xdr:colOff>428624</xdr:colOff>
      <xdr:row>27</xdr:row>
      <xdr:rowOff>163289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13256078" y="4136573"/>
          <a:ext cx="1307646" cy="117021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Moment of Truth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(Choice)</a:t>
          </a:r>
        </a:p>
      </xdr:txBody>
    </xdr:sp>
    <xdr:clientData/>
  </xdr:twoCellAnchor>
  <xdr:twoCellAnchor>
    <xdr:from>
      <xdr:col>16</xdr:col>
      <xdr:colOff>384401</xdr:colOff>
      <xdr:row>18</xdr:row>
      <xdr:rowOff>176896</xdr:rowOff>
    </xdr:from>
    <xdr:to>
      <xdr:col>16</xdr:col>
      <xdr:colOff>384402</xdr:colOff>
      <xdr:row>21</xdr:row>
      <xdr:rowOff>136073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>
          <a:stCxn id="7" idx="2"/>
          <a:endCxn id="10" idx="0"/>
        </xdr:cNvCxnSpPr>
      </xdr:nvCxnSpPr>
      <xdr:spPr>
        <a:xfrm>
          <a:off x="13909901" y="3605896"/>
          <a:ext cx="1" cy="53067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303894</xdr:colOff>
      <xdr:row>31</xdr:row>
      <xdr:rowOff>0</xdr:rowOff>
    </xdr:from>
    <xdr:to>
      <xdr:col>20</xdr:col>
      <xdr:colOff>392340</xdr:colOff>
      <xdr:row>37</xdr:row>
      <xdr:rowOff>15877</xdr:rowOff>
    </xdr:to>
    <xdr:sp macro="" textlink="">
      <xdr:nvSpPr>
        <xdr:cNvPr id="13" name="TextBox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5048594" y="5905500"/>
          <a:ext cx="1307646" cy="115887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Actual  Experience</a:t>
          </a:r>
        </a:p>
      </xdr:txBody>
    </xdr:sp>
    <xdr:clientData/>
  </xdr:twoCellAnchor>
  <xdr:twoCellAnchor>
    <xdr:from>
      <xdr:col>19</xdr:col>
      <xdr:colOff>348117</xdr:colOff>
      <xdr:row>27</xdr:row>
      <xdr:rowOff>185968</xdr:rowOff>
    </xdr:from>
    <xdr:to>
      <xdr:col>19</xdr:col>
      <xdr:colOff>352652</xdr:colOff>
      <xdr:row>31</xdr:row>
      <xdr:rowOff>0</xdr:rowOff>
    </xdr:to>
    <xdr:cxnSp macro="">
      <xdr:nvCxnSpPr>
        <xdr:cNvPr id="14" name="Elbow Connector 8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>
          <a:stCxn id="13" idx="0"/>
          <a:endCxn id="9" idx="2"/>
        </xdr:cNvCxnSpPr>
      </xdr:nvCxnSpPr>
      <xdr:spPr>
        <a:xfrm rot="5400000" flipH="1" flipV="1">
          <a:off x="15416669" y="5615216"/>
          <a:ext cx="576032" cy="4535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428623</xdr:colOff>
      <xdr:row>15</xdr:row>
      <xdr:rowOff>163288</xdr:rowOff>
    </xdr:from>
    <xdr:to>
      <xdr:col>19</xdr:col>
      <xdr:colOff>352653</xdr:colOff>
      <xdr:row>21</xdr:row>
      <xdr:rowOff>158751</xdr:rowOff>
    </xdr:to>
    <xdr:cxnSp macro="">
      <xdr:nvCxnSpPr>
        <xdr:cNvPr id="15" name="Elbow Connector 8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stCxn id="7" idx="3"/>
          <a:endCxn id="9" idx="0"/>
        </xdr:cNvCxnSpPr>
      </xdr:nvCxnSpPr>
      <xdr:spPr>
        <a:xfrm>
          <a:off x="14563723" y="3020788"/>
          <a:ext cx="1143230" cy="1138463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374196</xdr:colOff>
      <xdr:row>21</xdr:row>
      <xdr:rowOff>161018</xdr:rowOff>
    </xdr:from>
    <xdr:to>
      <xdr:col>23</xdr:col>
      <xdr:colOff>462642</xdr:colOff>
      <xdr:row>27</xdr:row>
      <xdr:rowOff>188234</xdr:rowOff>
    </xdr:to>
    <xdr:sp macro="" textlink="">
      <xdr:nvSpPr>
        <xdr:cNvPr id="16" name="TextBox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6947696" y="4161518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Lucida Bright" panose="02040602050505020304" pitchFamily="18" charset="0"/>
              <a:ea typeface="+mn-ea"/>
              <a:cs typeface="+mn-cs"/>
            </a:rPr>
            <a:t>Remedy</a:t>
          </a:r>
        </a:p>
      </xdr:txBody>
    </xdr:sp>
    <xdr:clientData/>
  </xdr:twoCellAnchor>
  <xdr:twoCellAnchor>
    <xdr:from>
      <xdr:col>20</xdr:col>
      <xdr:colOff>396875</xdr:colOff>
      <xdr:row>24</xdr:row>
      <xdr:rowOff>172359</xdr:rowOff>
    </xdr:from>
    <xdr:to>
      <xdr:col>21</xdr:col>
      <xdr:colOff>374196</xdr:colOff>
      <xdr:row>24</xdr:row>
      <xdr:rowOff>174626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>
          <a:stCxn id="9" idx="3"/>
          <a:endCxn id="16" idx="1"/>
        </xdr:cNvCxnSpPr>
      </xdr:nvCxnSpPr>
      <xdr:spPr>
        <a:xfrm>
          <a:off x="16360775" y="4744359"/>
          <a:ext cx="586921" cy="226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303894</xdr:colOff>
      <xdr:row>40</xdr:row>
      <xdr:rowOff>52161</xdr:rowOff>
    </xdr:from>
    <xdr:to>
      <xdr:col>20</xdr:col>
      <xdr:colOff>392340</xdr:colOff>
      <xdr:row>46</xdr:row>
      <xdr:rowOff>79377</xdr:rowOff>
    </xdr:to>
    <xdr:sp macro="" textlink="">
      <xdr:nvSpPr>
        <xdr:cNvPr id="18" name="TextBox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5048594" y="767216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Retention and LVC</a:t>
          </a:r>
        </a:p>
      </xdr:txBody>
    </xdr:sp>
    <xdr:clientData/>
  </xdr:twoCellAnchor>
  <xdr:twoCellAnchor>
    <xdr:from>
      <xdr:col>19</xdr:col>
      <xdr:colOff>348118</xdr:colOff>
      <xdr:row>37</xdr:row>
      <xdr:rowOff>15877</xdr:rowOff>
    </xdr:from>
    <xdr:to>
      <xdr:col>19</xdr:col>
      <xdr:colOff>348118</xdr:colOff>
      <xdr:row>40</xdr:row>
      <xdr:rowOff>52161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>
          <a:stCxn id="13" idx="2"/>
          <a:endCxn id="18" idx="0"/>
        </xdr:cNvCxnSpPr>
      </xdr:nvCxnSpPr>
      <xdr:spPr>
        <a:xfrm>
          <a:off x="15702418" y="7064377"/>
          <a:ext cx="0" cy="6077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464911</xdr:colOff>
      <xdr:row>40</xdr:row>
      <xdr:rowOff>52162</xdr:rowOff>
    </xdr:from>
    <xdr:to>
      <xdr:col>23</xdr:col>
      <xdr:colOff>553357</xdr:colOff>
      <xdr:row>46</xdr:row>
      <xdr:rowOff>79378</xdr:rowOff>
    </xdr:to>
    <xdr:sp macro="" textlink="">
      <xdr:nvSpPr>
        <xdr:cNvPr id="20" name="TextBox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7038411" y="7672162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Financial Performance</a:t>
          </a:r>
        </a:p>
      </xdr:txBody>
    </xdr:sp>
    <xdr:clientData/>
  </xdr:twoCellAnchor>
  <xdr:twoCellAnchor>
    <xdr:from>
      <xdr:col>20</xdr:col>
      <xdr:colOff>392340</xdr:colOff>
      <xdr:row>43</xdr:row>
      <xdr:rowOff>65769</xdr:rowOff>
    </xdr:from>
    <xdr:to>
      <xdr:col>21</xdr:col>
      <xdr:colOff>464911</xdr:colOff>
      <xdr:row>43</xdr:row>
      <xdr:rowOff>65770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CxnSpPr>
          <a:stCxn id="18" idx="3"/>
          <a:endCxn id="20" idx="1"/>
        </xdr:cNvCxnSpPr>
      </xdr:nvCxnSpPr>
      <xdr:spPr>
        <a:xfrm>
          <a:off x="16356240" y="8257269"/>
          <a:ext cx="682171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392341</xdr:colOff>
      <xdr:row>27</xdr:row>
      <xdr:rowOff>188233</xdr:rowOff>
    </xdr:from>
    <xdr:to>
      <xdr:col>22</xdr:col>
      <xdr:colOff>418420</xdr:colOff>
      <xdr:row>34</xdr:row>
      <xdr:rowOff>2268</xdr:rowOff>
    </xdr:to>
    <xdr:cxnSp macro="">
      <xdr:nvCxnSpPr>
        <xdr:cNvPr id="22" name="Elbow Connector 129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CxnSpPr>
          <a:stCxn id="16" idx="2"/>
          <a:endCxn id="13" idx="3"/>
        </xdr:cNvCxnSpPr>
      </xdr:nvCxnSpPr>
      <xdr:spPr>
        <a:xfrm rot="5400000">
          <a:off x="16405113" y="5282861"/>
          <a:ext cx="1147535" cy="124527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204106</xdr:colOff>
      <xdr:row>17</xdr:row>
      <xdr:rowOff>68036</xdr:rowOff>
    </xdr:from>
    <xdr:to>
      <xdr:col>14</xdr:col>
      <xdr:colOff>292553</xdr:colOff>
      <xdr:row>23</xdr:row>
      <xdr:rowOff>95252</xdr:rowOff>
    </xdr:to>
    <xdr:sp macro="" textlink="">
      <xdr:nvSpPr>
        <xdr:cNvPr id="23" name="TextBox 2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1291206" y="3306536"/>
          <a:ext cx="1307647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Acquisition 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Sequence</a:t>
          </a:r>
        </a:p>
      </xdr:txBody>
    </xdr:sp>
    <xdr:clientData/>
  </xdr:twoCellAnchor>
  <xdr:twoCellAnchor>
    <xdr:from>
      <xdr:col>16</xdr:col>
      <xdr:colOff>384402</xdr:colOff>
      <xdr:row>27</xdr:row>
      <xdr:rowOff>163289</xdr:rowOff>
    </xdr:from>
    <xdr:to>
      <xdr:col>16</xdr:col>
      <xdr:colOff>388483</xdr:colOff>
      <xdr:row>31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CxnSpPr>
          <a:stCxn id="10" idx="2"/>
          <a:endCxn id="5" idx="0"/>
        </xdr:cNvCxnSpPr>
      </xdr:nvCxnSpPr>
      <xdr:spPr>
        <a:xfrm>
          <a:off x="13909902" y="5306789"/>
          <a:ext cx="4081" cy="5987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285751</xdr:colOff>
      <xdr:row>11</xdr:row>
      <xdr:rowOff>81641</xdr:rowOff>
    </xdr:from>
    <xdr:to>
      <xdr:col>16</xdr:col>
      <xdr:colOff>384401</xdr:colOff>
      <xdr:row>12</xdr:row>
      <xdr:rowOff>149680</xdr:rowOff>
    </xdr:to>
    <xdr:cxnSp macro="">
      <xdr:nvCxnSpPr>
        <xdr:cNvPr id="25" name="Elbow Connector 15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CxnSpPr>
          <a:stCxn id="8" idx="3"/>
          <a:endCxn id="7" idx="0"/>
        </xdr:cNvCxnSpPr>
      </xdr:nvCxnSpPr>
      <xdr:spPr>
        <a:xfrm>
          <a:off x="12592051" y="2177141"/>
          <a:ext cx="1317850" cy="25853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248330</xdr:colOff>
      <xdr:row>23</xdr:row>
      <xdr:rowOff>95251</xdr:rowOff>
    </xdr:from>
    <xdr:to>
      <xdr:col>15</xdr:col>
      <xdr:colOff>340179</xdr:colOff>
      <xdr:row>24</xdr:row>
      <xdr:rowOff>149680</xdr:rowOff>
    </xdr:to>
    <xdr:cxnSp macro="">
      <xdr:nvCxnSpPr>
        <xdr:cNvPr id="26" name="Elbow Connector 223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CxnSpPr>
          <a:stCxn id="23" idx="2"/>
          <a:endCxn id="10" idx="1"/>
        </xdr:cNvCxnSpPr>
      </xdr:nvCxnSpPr>
      <xdr:spPr>
        <a:xfrm rot="16200000" flipH="1">
          <a:off x="12478090" y="3943691"/>
          <a:ext cx="244929" cy="131104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248329</xdr:colOff>
      <xdr:row>14</xdr:row>
      <xdr:rowOff>95249</xdr:rowOff>
    </xdr:from>
    <xdr:to>
      <xdr:col>13</xdr:col>
      <xdr:colOff>255133</xdr:colOff>
      <xdr:row>17</xdr:row>
      <xdr:rowOff>68036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>
          <a:stCxn id="8" idx="2"/>
          <a:endCxn id="23" idx="0"/>
        </xdr:cNvCxnSpPr>
      </xdr:nvCxnSpPr>
      <xdr:spPr>
        <a:xfrm flipH="1">
          <a:off x="11945029" y="2762249"/>
          <a:ext cx="6804" cy="54428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432705</xdr:colOff>
      <xdr:row>33</xdr:row>
      <xdr:rowOff>187776</xdr:rowOff>
    </xdr:from>
    <xdr:to>
      <xdr:col>18</xdr:col>
      <xdr:colOff>303894</xdr:colOff>
      <xdr:row>34</xdr:row>
      <xdr:rowOff>2269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CxnSpPr>
          <a:stCxn id="5" idx="3"/>
          <a:endCxn id="13" idx="1"/>
        </xdr:cNvCxnSpPr>
      </xdr:nvCxnSpPr>
      <xdr:spPr>
        <a:xfrm>
          <a:off x="14567805" y="6474276"/>
          <a:ext cx="480789" cy="49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228599</xdr:colOff>
      <xdr:row>11</xdr:row>
      <xdr:rowOff>78922</xdr:rowOff>
    </xdr:from>
    <xdr:to>
      <xdr:col>12</xdr:col>
      <xdr:colOff>224515</xdr:colOff>
      <xdr:row>11</xdr:row>
      <xdr:rowOff>81641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>
          <a:stCxn id="6" idx="3"/>
          <a:endCxn id="8" idx="1"/>
        </xdr:cNvCxnSpPr>
      </xdr:nvCxnSpPr>
      <xdr:spPr>
        <a:xfrm>
          <a:off x="6787242" y="2174422"/>
          <a:ext cx="608237" cy="271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59872</xdr:colOff>
      <xdr:row>0</xdr:row>
      <xdr:rowOff>167366</xdr:rowOff>
    </xdr:from>
    <xdr:to>
      <xdr:col>3</xdr:col>
      <xdr:colOff>506488</xdr:colOff>
      <xdr:row>5</xdr:row>
      <xdr:rowOff>155726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79072" y="167366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7</xdr:col>
      <xdr:colOff>9071</xdr:colOff>
      <xdr:row>2</xdr:row>
      <xdr:rowOff>35984</xdr:rowOff>
    </xdr:from>
    <xdr:to>
      <xdr:col>24</xdr:col>
      <xdr:colOff>340178</xdr:colOff>
      <xdr:row>5</xdr:row>
      <xdr:rowOff>131235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805464" y="416984"/>
          <a:ext cx="10740571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Implementation: 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Modified Market/Current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299962</xdr:colOff>
      <xdr:row>57</xdr:row>
      <xdr:rowOff>120347</xdr:rowOff>
    </xdr:from>
    <xdr:to>
      <xdr:col>4</xdr:col>
      <xdr:colOff>315837</xdr:colOff>
      <xdr:row>63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09562" y="10978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15</xdr:col>
      <xdr:colOff>344259</xdr:colOff>
      <xdr:row>31</xdr:row>
      <xdr:rowOff>0</xdr:rowOff>
    </xdr:from>
    <xdr:to>
      <xdr:col>17</xdr:col>
      <xdr:colOff>432705</xdr:colOff>
      <xdr:row>37</xdr:row>
      <xdr:rowOff>10884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9602559" y="5905500"/>
          <a:ext cx="1307646" cy="1153884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OperationalDelivery</a:t>
          </a:r>
        </a:p>
      </xdr:txBody>
    </xdr:sp>
    <xdr:clientData/>
  </xdr:twoCellAnchor>
  <xdr:twoCellAnchor>
    <xdr:from>
      <xdr:col>9</xdr:col>
      <xdr:colOff>140154</xdr:colOff>
      <xdr:row>8</xdr:row>
      <xdr:rowOff>160564</xdr:rowOff>
    </xdr:from>
    <xdr:to>
      <xdr:col>11</xdr:col>
      <xdr:colOff>228599</xdr:colOff>
      <xdr:row>14</xdr:row>
      <xdr:rowOff>187780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740854" y="1684564"/>
          <a:ext cx="1307645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Positioning</a:t>
          </a:r>
        </a:p>
      </xdr:txBody>
    </xdr:sp>
    <xdr:clientData/>
  </xdr:twoCellAnchor>
  <xdr:twoCellAnchor>
    <xdr:from>
      <xdr:col>15</xdr:col>
      <xdr:colOff>340177</xdr:colOff>
      <xdr:row>12</xdr:row>
      <xdr:rowOff>149680</xdr:rowOff>
    </xdr:from>
    <xdr:to>
      <xdr:col>17</xdr:col>
      <xdr:colOff>428623</xdr:colOff>
      <xdr:row>18</xdr:row>
      <xdr:rowOff>176896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9598477" y="2435680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Expectations of Experience</a:t>
          </a:r>
        </a:p>
      </xdr:txBody>
    </xdr:sp>
    <xdr:clientData/>
  </xdr:twoCellAnchor>
  <xdr:twoCellAnchor>
    <xdr:from>
      <xdr:col>12</xdr:col>
      <xdr:colOff>224515</xdr:colOff>
      <xdr:row>8</xdr:row>
      <xdr:rowOff>68033</xdr:rowOff>
    </xdr:from>
    <xdr:to>
      <xdr:col>14</xdr:col>
      <xdr:colOff>285751</xdr:colOff>
      <xdr:row>14</xdr:row>
      <xdr:rowOff>95249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7654015" y="1592033"/>
          <a:ext cx="128043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Message Content and Delivery</a:t>
          </a:r>
        </a:p>
      </xdr:txBody>
    </xdr:sp>
    <xdr:clientData/>
  </xdr:twoCellAnchor>
  <xdr:twoCellAnchor>
    <xdr:from>
      <xdr:col>18</xdr:col>
      <xdr:colOff>308429</xdr:colOff>
      <xdr:row>21</xdr:row>
      <xdr:rowOff>158751</xdr:rowOff>
    </xdr:from>
    <xdr:to>
      <xdr:col>20</xdr:col>
      <xdr:colOff>396875</xdr:colOff>
      <xdr:row>27</xdr:row>
      <xdr:rowOff>185967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1395529" y="415925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Gap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Analysis</a:t>
          </a:r>
        </a:p>
      </xdr:txBody>
    </xdr:sp>
    <xdr:clientData/>
  </xdr:twoCellAnchor>
  <xdr:twoCellAnchor>
    <xdr:from>
      <xdr:col>15</xdr:col>
      <xdr:colOff>340178</xdr:colOff>
      <xdr:row>21</xdr:row>
      <xdr:rowOff>136073</xdr:rowOff>
    </xdr:from>
    <xdr:to>
      <xdr:col>17</xdr:col>
      <xdr:colOff>428624</xdr:colOff>
      <xdr:row>27</xdr:row>
      <xdr:rowOff>163289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598478" y="4136573"/>
          <a:ext cx="1307646" cy="117021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Moment of Truth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(Choice)</a:t>
          </a:r>
        </a:p>
      </xdr:txBody>
    </xdr:sp>
    <xdr:clientData/>
  </xdr:twoCellAnchor>
  <xdr:twoCellAnchor>
    <xdr:from>
      <xdr:col>16</xdr:col>
      <xdr:colOff>384401</xdr:colOff>
      <xdr:row>18</xdr:row>
      <xdr:rowOff>176896</xdr:rowOff>
    </xdr:from>
    <xdr:to>
      <xdr:col>16</xdr:col>
      <xdr:colOff>384402</xdr:colOff>
      <xdr:row>21</xdr:row>
      <xdr:rowOff>136073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>
          <a:stCxn id="7" idx="2"/>
          <a:endCxn id="10" idx="0"/>
        </xdr:cNvCxnSpPr>
      </xdr:nvCxnSpPr>
      <xdr:spPr>
        <a:xfrm>
          <a:off x="10252301" y="3605896"/>
          <a:ext cx="1" cy="53067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303894</xdr:colOff>
      <xdr:row>31</xdr:row>
      <xdr:rowOff>0</xdr:rowOff>
    </xdr:from>
    <xdr:to>
      <xdr:col>20</xdr:col>
      <xdr:colOff>392340</xdr:colOff>
      <xdr:row>37</xdr:row>
      <xdr:rowOff>15877</xdr:rowOff>
    </xdr:to>
    <xdr:sp macro="" textlink="">
      <xdr:nvSpPr>
        <xdr:cNvPr id="12" name="TextBox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1390994" y="5905500"/>
          <a:ext cx="1307646" cy="115887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Actual  Experience</a:t>
          </a:r>
        </a:p>
      </xdr:txBody>
    </xdr:sp>
    <xdr:clientData/>
  </xdr:twoCellAnchor>
  <xdr:twoCellAnchor>
    <xdr:from>
      <xdr:col>19</xdr:col>
      <xdr:colOff>348117</xdr:colOff>
      <xdr:row>27</xdr:row>
      <xdr:rowOff>185968</xdr:rowOff>
    </xdr:from>
    <xdr:to>
      <xdr:col>19</xdr:col>
      <xdr:colOff>352652</xdr:colOff>
      <xdr:row>31</xdr:row>
      <xdr:rowOff>0</xdr:rowOff>
    </xdr:to>
    <xdr:cxnSp macro="">
      <xdr:nvCxnSpPr>
        <xdr:cNvPr id="13" name="Elbow Connector 8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>
          <a:stCxn id="12" idx="0"/>
          <a:endCxn id="9" idx="2"/>
        </xdr:cNvCxnSpPr>
      </xdr:nvCxnSpPr>
      <xdr:spPr>
        <a:xfrm rot="5400000" flipH="1" flipV="1">
          <a:off x="11759069" y="5615216"/>
          <a:ext cx="576032" cy="4535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428623</xdr:colOff>
      <xdr:row>15</xdr:row>
      <xdr:rowOff>163288</xdr:rowOff>
    </xdr:from>
    <xdr:to>
      <xdr:col>19</xdr:col>
      <xdr:colOff>352653</xdr:colOff>
      <xdr:row>21</xdr:row>
      <xdr:rowOff>158751</xdr:rowOff>
    </xdr:to>
    <xdr:cxnSp macro="">
      <xdr:nvCxnSpPr>
        <xdr:cNvPr id="14" name="Elbow Connector 8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CxnSpPr>
          <a:stCxn id="7" idx="3"/>
          <a:endCxn id="9" idx="0"/>
        </xdr:cNvCxnSpPr>
      </xdr:nvCxnSpPr>
      <xdr:spPr>
        <a:xfrm>
          <a:off x="10906123" y="3020788"/>
          <a:ext cx="1143230" cy="1138463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374196</xdr:colOff>
      <xdr:row>21</xdr:row>
      <xdr:rowOff>161018</xdr:rowOff>
    </xdr:from>
    <xdr:to>
      <xdr:col>23</xdr:col>
      <xdr:colOff>462642</xdr:colOff>
      <xdr:row>27</xdr:row>
      <xdr:rowOff>188234</xdr:rowOff>
    </xdr:to>
    <xdr:sp macro="" textlink="">
      <xdr:nvSpPr>
        <xdr:cNvPr id="15" name="TextBox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3290096" y="4161518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Lucida Bright" panose="02040602050505020304" pitchFamily="18" charset="0"/>
              <a:ea typeface="+mn-ea"/>
              <a:cs typeface="+mn-cs"/>
            </a:rPr>
            <a:t>Remedy</a:t>
          </a:r>
        </a:p>
      </xdr:txBody>
    </xdr:sp>
    <xdr:clientData/>
  </xdr:twoCellAnchor>
  <xdr:twoCellAnchor>
    <xdr:from>
      <xdr:col>20</xdr:col>
      <xdr:colOff>396875</xdr:colOff>
      <xdr:row>24</xdr:row>
      <xdr:rowOff>172359</xdr:rowOff>
    </xdr:from>
    <xdr:to>
      <xdr:col>21</xdr:col>
      <xdr:colOff>374196</xdr:colOff>
      <xdr:row>24</xdr:row>
      <xdr:rowOff>174626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>
          <a:stCxn id="9" idx="3"/>
          <a:endCxn id="15" idx="1"/>
        </xdr:cNvCxnSpPr>
      </xdr:nvCxnSpPr>
      <xdr:spPr>
        <a:xfrm>
          <a:off x="12703175" y="4744359"/>
          <a:ext cx="586921" cy="226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303894</xdr:colOff>
      <xdr:row>40</xdr:row>
      <xdr:rowOff>52161</xdr:rowOff>
    </xdr:from>
    <xdr:to>
      <xdr:col>20</xdr:col>
      <xdr:colOff>392340</xdr:colOff>
      <xdr:row>46</xdr:row>
      <xdr:rowOff>79377</xdr:rowOff>
    </xdr:to>
    <xdr:sp macro="" textlink="">
      <xdr:nvSpPr>
        <xdr:cNvPr id="17" name="TextBox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11390994" y="767216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Retention and LVC</a:t>
          </a:r>
        </a:p>
      </xdr:txBody>
    </xdr:sp>
    <xdr:clientData/>
  </xdr:twoCellAnchor>
  <xdr:twoCellAnchor>
    <xdr:from>
      <xdr:col>19</xdr:col>
      <xdr:colOff>348118</xdr:colOff>
      <xdr:row>37</xdr:row>
      <xdr:rowOff>15877</xdr:rowOff>
    </xdr:from>
    <xdr:to>
      <xdr:col>19</xdr:col>
      <xdr:colOff>348118</xdr:colOff>
      <xdr:row>40</xdr:row>
      <xdr:rowOff>52161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CxnSpPr>
          <a:stCxn id="12" idx="2"/>
          <a:endCxn id="17" idx="0"/>
        </xdr:cNvCxnSpPr>
      </xdr:nvCxnSpPr>
      <xdr:spPr>
        <a:xfrm>
          <a:off x="12044818" y="7064377"/>
          <a:ext cx="0" cy="6077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464911</xdr:colOff>
      <xdr:row>40</xdr:row>
      <xdr:rowOff>52162</xdr:rowOff>
    </xdr:from>
    <xdr:to>
      <xdr:col>23</xdr:col>
      <xdr:colOff>553357</xdr:colOff>
      <xdr:row>46</xdr:row>
      <xdr:rowOff>79378</xdr:rowOff>
    </xdr:to>
    <xdr:sp macro="" textlink="">
      <xdr:nvSpPr>
        <xdr:cNvPr id="19" name="TextBox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13380811" y="7672162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Financial Performance</a:t>
          </a:r>
        </a:p>
      </xdr:txBody>
    </xdr:sp>
    <xdr:clientData/>
  </xdr:twoCellAnchor>
  <xdr:twoCellAnchor>
    <xdr:from>
      <xdr:col>20</xdr:col>
      <xdr:colOff>392340</xdr:colOff>
      <xdr:row>43</xdr:row>
      <xdr:rowOff>65769</xdr:rowOff>
    </xdr:from>
    <xdr:to>
      <xdr:col>21</xdr:col>
      <xdr:colOff>464911</xdr:colOff>
      <xdr:row>43</xdr:row>
      <xdr:rowOff>65770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>
          <a:stCxn id="17" idx="3"/>
          <a:endCxn id="19" idx="1"/>
        </xdr:cNvCxnSpPr>
      </xdr:nvCxnSpPr>
      <xdr:spPr>
        <a:xfrm>
          <a:off x="12698640" y="8257269"/>
          <a:ext cx="682171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392341</xdr:colOff>
      <xdr:row>27</xdr:row>
      <xdr:rowOff>188233</xdr:rowOff>
    </xdr:from>
    <xdr:to>
      <xdr:col>22</xdr:col>
      <xdr:colOff>418420</xdr:colOff>
      <xdr:row>34</xdr:row>
      <xdr:rowOff>2268</xdr:rowOff>
    </xdr:to>
    <xdr:cxnSp macro="">
      <xdr:nvCxnSpPr>
        <xdr:cNvPr id="21" name="Elbow Connector 129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stCxn id="15" idx="2"/>
          <a:endCxn id="12" idx="3"/>
        </xdr:cNvCxnSpPr>
      </xdr:nvCxnSpPr>
      <xdr:spPr>
        <a:xfrm rot="5400000">
          <a:off x="12747513" y="5282861"/>
          <a:ext cx="1147535" cy="124527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204106</xdr:colOff>
      <xdr:row>17</xdr:row>
      <xdr:rowOff>68036</xdr:rowOff>
    </xdr:from>
    <xdr:to>
      <xdr:col>14</xdr:col>
      <xdr:colOff>292553</xdr:colOff>
      <xdr:row>23</xdr:row>
      <xdr:rowOff>95252</xdr:rowOff>
    </xdr:to>
    <xdr:sp macro="" textlink="">
      <xdr:nvSpPr>
        <xdr:cNvPr id="22" name="TextBox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7633606" y="3306536"/>
          <a:ext cx="1307647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Acquisition 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Sequence</a:t>
          </a:r>
        </a:p>
      </xdr:txBody>
    </xdr:sp>
    <xdr:clientData/>
  </xdr:twoCellAnchor>
  <xdr:twoCellAnchor>
    <xdr:from>
      <xdr:col>16</xdr:col>
      <xdr:colOff>384402</xdr:colOff>
      <xdr:row>27</xdr:row>
      <xdr:rowOff>163289</xdr:rowOff>
    </xdr:from>
    <xdr:to>
      <xdr:col>16</xdr:col>
      <xdr:colOff>388483</xdr:colOff>
      <xdr:row>31</xdr:row>
      <xdr:rowOff>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CxnSpPr>
          <a:stCxn id="10" idx="2"/>
          <a:endCxn id="5" idx="0"/>
        </xdr:cNvCxnSpPr>
      </xdr:nvCxnSpPr>
      <xdr:spPr>
        <a:xfrm>
          <a:off x="10252302" y="5306789"/>
          <a:ext cx="4081" cy="5987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285751</xdr:colOff>
      <xdr:row>11</xdr:row>
      <xdr:rowOff>81641</xdr:rowOff>
    </xdr:from>
    <xdr:to>
      <xdr:col>16</xdr:col>
      <xdr:colOff>384401</xdr:colOff>
      <xdr:row>12</xdr:row>
      <xdr:rowOff>149680</xdr:rowOff>
    </xdr:to>
    <xdr:cxnSp macro="">
      <xdr:nvCxnSpPr>
        <xdr:cNvPr id="24" name="Elbow Connector 15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CxnSpPr>
          <a:stCxn id="8" idx="3"/>
          <a:endCxn id="7" idx="0"/>
        </xdr:cNvCxnSpPr>
      </xdr:nvCxnSpPr>
      <xdr:spPr>
        <a:xfrm>
          <a:off x="8934451" y="2177141"/>
          <a:ext cx="1317850" cy="25853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248330</xdr:colOff>
      <xdr:row>23</xdr:row>
      <xdr:rowOff>95251</xdr:rowOff>
    </xdr:from>
    <xdr:to>
      <xdr:col>15</xdr:col>
      <xdr:colOff>340179</xdr:colOff>
      <xdr:row>24</xdr:row>
      <xdr:rowOff>149680</xdr:rowOff>
    </xdr:to>
    <xdr:cxnSp macro="">
      <xdr:nvCxnSpPr>
        <xdr:cNvPr id="25" name="Elbow Connector 223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CxnSpPr>
          <a:stCxn id="22" idx="2"/>
          <a:endCxn id="10" idx="1"/>
        </xdr:cNvCxnSpPr>
      </xdr:nvCxnSpPr>
      <xdr:spPr>
        <a:xfrm rot="16200000" flipH="1">
          <a:off x="8820490" y="3943691"/>
          <a:ext cx="244929" cy="131104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248329</xdr:colOff>
      <xdr:row>14</xdr:row>
      <xdr:rowOff>95249</xdr:rowOff>
    </xdr:from>
    <xdr:to>
      <xdr:col>13</xdr:col>
      <xdr:colOff>255133</xdr:colOff>
      <xdr:row>17</xdr:row>
      <xdr:rowOff>68036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CxnSpPr>
          <a:stCxn id="8" idx="2"/>
          <a:endCxn id="22" idx="0"/>
        </xdr:cNvCxnSpPr>
      </xdr:nvCxnSpPr>
      <xdr:spPr>
        <a:xfrm flipH="1">
          <a:off x="8287429" y="2762249"/>
          <a:ext cx="6804" cy="54428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432705</xdr:colOff>
      <xdr:row>33</xdr:row>
      <xdr:rowOff>187776</xdr:rowOff>
    </xdr:from>
    <xdr:to>
      <xdr:col>18</xdr:col>
      <xdr:colOff>303894</xdr:colOff>
      <xdr:row>34</xdr:row>
      <xdr:rowOff>2269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>
          <a:stCxn id="5" idx="3"/>
          <a:endCxn id="12" idx="1"/>
        </xdr:cNvCxnSpPr>
      </xdr:nvCxnSpPr>
      <xdr:spPr>
        <a:xfrm>
          <a:off x="10910205" y="6474276"/>
          <a:ext cx="480789" cy="49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59872</xdr:colOff>
      <xdr:row>0</xdr:row>
      <xdr:rowOff>167366</xdr:rowOff>
    </xdr:from>
    <xdr:to>
      <xdr:col>3</xdr:col>
      <xdr:colOff>506488</xdr:colOff>
      <xdr:row>5</xdr:row>
      <xdr:rowOff>155726</xdr:rowOff>
    </xdr:to>
    <xdr:sp macro="" textlink="">
      <xdr:nvSpPr>
        <xdr:cNvPr id="2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279072" y="167366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6</xdr:col>
      <xdr:colOff>281212</xdr:colOff>
      <xdr:row>2</xdr:row>
      <xdr:rowOff>117627</xdr:rowOff>
    </xdr:from>
    <xdr:to>
      <xdr:col>25</xdr:col>
      <xdr:colOff>95248</xdr:colOff>
      <xdr:row>6</xdr:row>
      <xdr:rowOff>22378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3778248" y="498627"/>
          <a:ext cx="11135179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Implementation: Current Market/</a:t>
          </a:r>
          <a:r>
            <a:rPr lang="en-US" sz="3200" baseline="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 Modified Portfolio</a:t>
          </a:r>
          <a:endParaRPr lang="en-US" sz="3200">
            <a:solidFill>
              <a:schemeClr val="accent3">
                <a:lumMod val="50000"/>
              </a:schemeClr>
            </a:solidFill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299962</xdr:colOff>
      <xdr:row>57</xdr:row>
      <xdr:rowOff>120347</xdr:rowOff>
    </xdr:from>
    <xdr:to>
      <xdr:col>4</xdr:col>
      <xdr:colOff>315837</xdr:colOff>
      <xdr:row>63</xdr:row>
      <xdr:rowOff>67430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909562" y="10978847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  <xdr:twoCellAnchor>
    <xdr:from>
      <xdr:col>15</xdr:col>
      <xdr:colOff>344259</xdr:colOff>
      <xdr:row>31</xdr:row>
      <xdr:rowOff>0</xdr:rowOff>
    </xdr:from>
    <xdr:to>
      <xdr:col>17</xdr:col>
      <xdr:colOff>432705</xdr:colOff>
      <xdr:row>37</xdr:row>
      <xdr:rowOff>10884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3260159" y="5905500"/>
          <a:ext cx="1307646" cy="1153884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OperationalDelivery</a:t>
          </a:r>
        </a:p>
      </xdr:txBody>
    </xdr:sp>
    <xdr:clientData/>
  </xdr:twoCellAnchor>
  <xdr:twoCellAnchor>
    <xdr:from>
      <xdr:col>9</xdr:col>
      <xdr:colOff>126547</xdr:colOff>
      <xdr:row>8</xdr:row>
      <xdr:rowOff>65314</xdr:rowOff>
    </xdr:from>
    <xdr:to>
      <xdr:col>11</xdr:col>
      <xdr:colOff>214992</xdr:colOff>
      <xdr:row>14</xdr:row>
      <xdr:rowOff>92530</xdr:rowOff>
    </xdr:to>
    <xdr:sp macro="" textlink="">
      <xdr:nvSpPr>
        <xdr:cNvPr id="6" name="TextBox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759904" y="1589314"/>
          <a:ext cx="1313088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Positioning</a:t>
          </a:r>
        </a:p>
      </xdr:txBody>
    </xdr:sp>
    <xdr:clientData/>
  </xdr:twoCellAnchor>
  <xdr:twoCellAnchor>
    <xdr:from>
      <xdr:col>15</xdr:col>
      <xdr:colOff>340177</xdr:colOff>
      <xdr:row>12</xdr:row>
      <xdr:rowOff>149680</xdr:rowOff>
    </xdr:from>
    <xdr:to>
      <xdr:col>17</xdr:col>
      <xdr:colOff>428623</xdr:colOff>
      <xdr:row>18</xdr:row>
      <xdr:rowOff>176896</xdr:rowOff>
    </xdr:to>
    <xdr:sp macro="" textlink="">
      <xdr:nvSpPr>
        <xdr:cNvPr id="7" name="TextBox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3256077" y="2435680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Expectations of Experience</a:t>
          </a:r>
        </a:p>
      </xdr:txBody>
    </xdr:sp>
    <xdr:clientData/>
  </xdr:twoCellAnchor>
  <xdr:twoCellAnchor>
    <xdr:from>
      <xdr:col>12</xdr:col>
      <xdr:colOff>224515</xdr:colOff>
      <xdr:row>8</xdr:row>
      <xdr:rowOff>68033</xdr:rowOff>
    </xdr:from>
    <xdr:to>
      <xdr:col>14</xdr:col>
      <xdr:colOff>285751</xdr:colOff>
      <xdr:row>14</xdr:row>
      <xdr:rowOff>95249</xdr:rowOff>
    </xdr:to>
    <xdr:sp macro="" textlink="">
      <xdr:nvSpPr>
        <xdr:cNvPr id="8" name="TextBox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11311615" y="1592033"/>
          <a:ext cx="128043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Message Content and Delivery</a:t>
          </a:r>
        </a:p>
      </xdr:txBody>
    </xdr:sp>
    <xdr:clientData/>
  </xdr:twoCellAnchor>
  <xdr:twoCellAnchor>
    <xdr:from>
      <xdr:col>18</xdr:col>
      <xdr:colOff>308429</xdr:colOff>
      <xdr:row>21</xdr:row>
      <xdr:rowOff>158751</xdr:rowOff>
    </xdr:from>
    <xdr:to>
      <xdr:col>20</xdr:col>
      <xdr:colOff>396875</xdr:colOff>
      <xdr:row>27</xdr:row>
      <xdr:rowOff>185967</xdr:rowOff>
    </xdr:to>
    <xdr:sp macro="" textlink="">
      <xdr:nvSpPr>
        <xdr:cNvPr id="9" name="TextBox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5053129" y="415925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Gap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Analysis</a:t>
          </a:r>
        </a:p>
      </xdr:txBody>
    </xdr:sp>
    <xdr:clientData/>
  </xdr:twoCellAnchor>
  <xdr:twoCellAnchor>
    <xdr:from>
      <xdr:col>15</xdr:col>
      <xdr:colOff>340178</xdr:colOff>
      <xdr:row>21</xdr:row>
      <xdr:rowOff>136073</xdr:rowOff>
    </xdr:from>
    <xdr:to>
      <xdr:col>17</xdr:col>
      <xdr:colOff>428624</xdr:colOff>
      <xdr:row>27</xdr:row>
      <xdr:rowOff>163289</xdr:rowOff>
    </xdr:to>
    <xdr:sp macro="" textlink="">
      <xdr:nvSpPr>
        <xdr:cNvPr id="10" name="TextBox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3256078" y="4136573"/>
          <a:ext cx="1307646" cy="117021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Moment of Truth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(Choice)</a:t>
          </a:r>
        </a:p>
      </xdr:txBody>
    </xdr:sp>
    <xdr:clientData/>
  </xdr:twoCellAnchor>
  <xdr:twoCellAnchor>
    <xdr:from>
      <xdr:col>16</xdr:col>
      <xdr:colOff>384401</xdr:colOff>
      <xdr:row>18</xdr:row>
      <xdr:rowOff>176896</xdr:rowOff>
    </xdr:from>
    <xdr:to>
      <xdr:col>16</xdr:col>
      <xdr:colOff>384402</xdr:colOff>
      <xdr:row>21</xdr:row>
      <xdr:rowOff>136073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CxnSpPr>
          <a:stCxn id="7" idx="2"/>
          <a:endCxn id="10" idx="0"/>
        </xdr:cNvCxnSpPr>
      </xdr:nvCxnSpPr>
      <xdr:spPr>
        <a:xfrm>
          <a:off x="13909901" y="3605896"/>
          <a:ext cx="1" cy="53067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303894</xdr:colOff>
      <xdr:row>31</xdr:row>
      <xdr:rowOff>0</xdr:rowOff>
    </xdr:from>
    <xdr:to>
      <xdr:col>20</xdr:col>
      <xdr:colOff>392340</xdr:colOff>
      <xdr:row>37</xdr:row>
      <xdr:rowOff>15877</xdr:rowOff>
    </xdr:to>
    <xdr:sp macro="" textlink="">
      <xdr:nvSpPr>
        <xdr:cNvPr id="13" name="TextBox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5048594" y="5905500"/>
          <a:ext cx="1307646" cy="115887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Actual  Experience</a:t>
          </a:r>
        </a:p>
      </xdr:txBody>
    </xdr:sp>
    <xdr:clientData/>
  </xdr:twoCellAnchor>
  <xdr:twoCellAnchor>
    <xdr:from>
      <xdr:col>19</xdr:col>
      <xdr:colOff>348117</xdr:colOff>
      <xdr:row>27</xdr:row>
      <xdr:rowOff>185968</xdr:rowOff>
    </xdr:from>
    <xdr:to>
      <xdr:col>19</xdr:col>
      <xdr:colOff>352652</xdr:colOff>
      <xdr:row>31</xdr:row>
      <xdr:rowOff>0</xdr:rowOff>
    </xdr:to>
    <xdr:cxnSp macro="">
      <xdr:nvCxnSpPr>
        <xdr:cNvPr id="14" name="Elbow Connector 8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CxnSpPr>
          <a:stCxn id="13" idx="0"/>
          <a:endCxn id="9" idx="2"/>
        </xdr:cNvCxnSpPr>
      </xdr:nvCxnSpPr>
      <xdr:spPr>
        <a:xfrm rot="5400000" flipH="1" flipV="1">
          <a:off x="15416669" y="5615216"/>
          <a:ext cx="576032" cy="4535"/>
        </a:xfrm>
        <a:prstGeom prst="bentConnector3">
          <a:avLst>
            <a:gd name="adj1" fmla="val 500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428623</xdr:colOff>
      <xdr:row>15</xdr:row>
      <xdr:rowOff>163288</xdr:rowOff>
    </xdr:from>
    <xdr:to>
      <xdr:col>19</xdr:col>
      <xdr:colOff>352653</xdr:colOff>
      <xdr:row>21</xdr:row>
      <xdr:rowOff>158751</xdr:rowOff>
    </xdr:to>
    <xdr:cxnSp macro="">
      <xdr:nvCxnSpPr>
        <xdr:cNvPr id="15" name="Elbow Connector 8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>
          <a:stCxn id="7" idx="3"/>
          <a:endCxn id="9" idx="0"/>
        </xdr:cNvCxnSpPr>
      </xdr:nvCxnSpPr>
      <xdr:spPr>
        <a:xfrm>
          <a:off x="14563723" y="3020788"/>
          <a:ext cx="1143230" cy="1138463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374196</xdr:colOff>
      <xdr:row>21</xdr:row>
      <xdr:rowOff>161018</xdr:rowOff>
    </xdr:from>
    <xdr:to>
      <xdr:col>23</xdr:col>
      <xdr:colOff>462642</xdr:colOff>
      <xdr:row>27</xdr:row>
      <xdr:rowOff>188234</xdr:rowOff>
    </xdr:to>
    <xdr:sp macro="" textlink="">
      <xdr:nvSpPr>
        <xdr:cNvPr id="16" name="TextBox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16947696" y="4161518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Lucida Bright" panose="02040602050505020304" pitchFamily="18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Lucida Bright" panose="02040602050505020304" pitchFamily="18" charset="0"/>
              <a:ea typeface="+mn-ea"/>
              <a:cs typeface="+mn-cs"/>
            </a:rPr>
            <a:t>Remedy</a:t>
          </a:r>
        </a:p>
      </xdr:txBody>
    </xdr:sp>
    <xdr:clientData/>
  </xdr:twoCellAnchor>
  <xdr:twoCellAnchor>
    <xdr:from>
      <xdr:col>20</xdr:col>
      <xdr:colOff>396875</xdr:colOff>
      <xdr:row>24</xdr:row>
      <xdr:rowOff>172359</xdr:rowOff>
    </xdr:from>
    <xdr:to>
      <xdr:col>21</xdr:col>
      <xdr:colOff>374196</xdr:colOff>
      <xdr:row>24</xdr:row>
      <xdr:rowOff>174626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CxnSpPr>
          <a:stCxn id="9" idx="3"/>
          <a:endCxn id="16" idx="1"/>
        </xdr:cNvCxnSpPr>
      </xdr:nvCxnSpPr>
      <xdr:spPr>
        <a:xfrm>
          <a:off x="16360775" y="4744359"/>
          <a:ext cx="586921" cy="226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303894</xdr:colOff>
      <xdr:row>40</xdr:row>
      <xdr:rowOff>52161</xdr:rowOff>
    </xdr:from>
    <xdr:to>
      <xdr:col>20</xdr:col>
      <xdr:colOff>392340</xdr:colOff>
      <xdr:row>46</xdr:row>
      <xdr:rowOff>79377</xdr:rowOff>
    </xdr:to>
    <xdr:sp macro="" textlink="">
      <xdr:nvSpPr>
        <xdr:cNvPr id="18" name="TextBox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5048594" y="7672161"/>
          <a:ext cx="1307646" cy="1170216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 Retention and LVC</a:t>
          </a:r>
        </a:p>
      </xdr:txBody>
    </xdr:sp>
    <xdr:clientData/>
  </xdr:twoCellAnchor>
  <xdr:twoCellAnchor>
    <xdr:from>
      <xdr:col>19</xdr:col>
      <xdr:colOff>348118</xdr:colOff>
      <xdr:row>37</xdr:row>
      <xdr:rowOff>15877</xdr:rowOff>
    </xdr:from>
    <xdr:to>
      <xdr:col>19</xdr:col>
      <xdr:colOff>348118</xdr:colOff>
      <xdr:row>40</xdr:row>
      <xdr:rowOff>52161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CxnSpPr>
          <a:stCxn id="13" idx="2"/>
          <a:endCxn id="18" idx="0"/>
        </xdr:cNvCxnSpPr>
      </xdr:nvCxnSpPr>
      <xdr:spPr>
        <a:xfrm>
          <a:off x="15702418" y="7064377"/>
          <a:ext cx="0" cy="60778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464911</xdr:colOff>
      <xdr:row>40</xdr:row>
      <xdr:rowOff>52162</xdr:rowOff>
    </xdr:from>
    <xdr:to>
      <xdr:col>23</xdr:col>
      <xdr:colOff>553357</xdr:colOff>
      <xdr:row>46</xdr:row>
      <xdr:rowOff>79378</xdr:rowOff>
    </xdr:to>
    <xdr:sp macro="" textlink="">
      <xdr:nvSpPr>
        <xdr:cNvPr id="20" name="TextBox 1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7038411" y="7672162"/>
          <a:ext cx="1307646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Financial Performance</a:t>
          </a:r>
        </a:p>
      </xdr:txBody>
    </xdr:sp>
    <xdr:clientData/>
  </xdr:twoCellAnchor>
  <xdr:twoCellAnchor>
    <xdr:from>
      <xdr:col>20</xdr:col>
      <xdr:colOff>392340</xdr:colOff>
      <xdr:row>43</xdr:row>
      <xdr:rowOff>65769</xdr:rowOff>
    </xdr:from>
    <xdr:to>
      <xdr:col>21</xdr:col>
      <xdr:colOff>464911</xdr:colOff>
      <xdr:row>43</xdr:row>
      <xdr:rowOff>65770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CxnSpPr>
          <a:stCxn id="18" idx="3"/>
          <a:endCxn id="20" idx="1"/>
        </xdr:cNvCxnSpPr>
      </xdr:nvCxnSpPr>
      <xdr:spPr>
        <a:xfrm>
          <a:off x="16356240" y="8257269"/>
          <a:ext cx="682171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392341</xdr:colOff>
      <xdr:row>27</xdr:row>
      <xdr:rowOff>188233</xdr:rowOff>
    </xdr:from>
    <xdr:to>
      <xdr:col>22</xdr:col>
      <xdr:colOff>418420</xdr:colOff>
      <xdr:row>34</xdr:row>
      <xdr:rowOff>2268</xdr:rowOff>
    </xdr:to>
    <xdr:cxnSp macro="">
      <xdr:nvCxnSpPr>
        <xdr:cNvPr id="22" name="Elbow Connector 129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CxnSpPr>
          <a:stCxn id="16" idx="2"/>
          <a:endCxn id="13" idx="3"/>
        </xdr:cNvCxnSpPr>
      </xdr:nvCxnSpPr>
      <xdr:spPr>
        <a:xfrm rot="5400000">
          <a:off x="16405113" y="5282861"/>
          <a:ext cx="1147535" cy="124527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204106</xdr:colOff>
      <xdr:row>17</xdr:row>
      <xdr:rowOff>68036</xdr:rowOff>
    </xdr:from>
    <xdr:to>
      <xdr:col>14</xdr:col>
      <xdr:colOff>292553</xdr:colOff>
      <xdr:row>23</xdr:row>
      <xdr:rowOff>95252</xdr:rowOff>
    </xdr:to>
    <xdr:sp macro="" textlink="">
      <xdr:nvSpPr>
        <xdr:cNvPr id="23" name="TextBox 2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1291206" y="3306536"/>
          <a:ext cx="1307647" cy="117021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aseline="0">
            <a:solidFill>
              <a:schemeClr val="tx1"/>
            </a:solidFill>
            <a:latin typeface="Lucida Bright" panose="02040602050505020304" pitchFamily="18" charset="0"/>
          </a:endParaRP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Acquisition  </a:t>
          </a:r>
        </a:p>
        <a:p>
          <a:pPr algn="ctr"/>
          <a:r>
            <a:rPr lang="en-US" sz="1400" baseline="0">
              <a:solidFill>
                <a:schemeClr val="tx1"/>
              </a:solidFill>
              <a:latin typeface="Lucida Bright" panose="02040602050505020304" pitchFamily="18" charset="0"/>
            </a:rPr>
            <a:t>Sequence</a:t>
          </a:r>
        </a:p>
      </xdr:txBody>
    </xdr:sp>
    <xdr:clientData/>
  </xdr:twoCellAnchor>
  <xdr:twoCellAnchor>
    <xdr:from>
      <xdr:col>16</xdr:col>
      <xdr:colOff>384402</xdr:colOff>
      <xdr:row>27</xdr:row>
      <xdr:rowOff>163289</xdr:rowOff>
    </xdr:from>
    <xdr:to>
      <xdr:col>16</xdr:col>
      <xdr:colOff>388483</xdr:colOff>
      <xdr:row>31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CxnSpPr>
          <a:stCxn id="10" idx="2"/>
          <a:endCxn id="5" idx="0"/>
        </xdr:cNvCxnSpPr>
      </xdr:nvCxnSpPr>
      <xdr:spPr>
        <a:xfrm>
          <a:off x="13909902" y="5306789"/>
          <a:ext cx="4081" cy="59871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285751</xdr:colOff>
      <xdr:row>11</xdr:row>
      <xdr:rowOff>81641</xdr:rowOff>
    </xdr:from>
    <xdr:to>
      <xdr:col>16</xdr:col>
      <xdr:colOff>384401</xdr:colOff>
      <xdr:row>12</xdr:row>
      <xdr:rowOff>149680</xdr:rowOff>
    </xdr:to>
    <xdr:cxnSp macro="">
      <xdr:nvCxnSpPr>
        <xdr:cNvPr id="25" name="Elbow Connector 156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CxnSpPr>
          <a:stCxn id="8" idx="3"/>
          <a:endCxn id="7" idx="0"/>
        </xdr:cNvCxnSpPr>
      </xdr:nvCxnSpPr>
      <xdr:spPr>
        <a:xfrm>
          <a:off x="12592051" y="2177141"/>
          <a:ext cx="1317850" cy="25853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248330</xdr:colOff>
      <xdr:row>23</xdr:row>
      <xdr:rowOff>95251</xdr:rowOff>
    </xdr:from>
    <xdr:to>
      <xdr:col>15</xdr:col>
      <xdr:colOff>340179</xdr:colOff>
      <xdr:row>24</xdr:row>
      <xdr:rowOff>149680</xdr:rowOff>
    </xdr:to>
    <xdr:cxnSp macro="">
      <xdr:nvCxnSpPr>
        <xdr:cNvPr id="26" name="Elbow Connector 223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CxnSpPr>
          <a:stCxn id="23" idx="2"/>
          <a:endCxn id="10" idx="1"/>
        </xdr:cNvCxnSpPr>
      </xdr:nvCxnSpPr>
      <xdr:spPr>
        <a:xfrm rot="16200000" flipH="1">
          <a:off x="12478090" y="3943691"/>
          <a:ext cx="244929" cy="1311049"/>
        </a:xfrm>
        <a:prstGeom prst="bentConnector2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248329</xdr:colOff>
      <xdr:row>14</xdr:row>
      <xdr:rowOff>95249</xdr:rowOff>
    </xdr:from>
    <xdr:to>
      <xdr:col>13</xdr:col>
      <xdr:colOff>255133</xdr:colOff>
      <xdr:row>17</xdr:row>
      <xdr:rowOff>68036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CxnSpPr>
          <a:stCxn id="8" idx="2"/>
          <a:endCxn id="23" idx="0"/>
        </xdr:cNvCxnSpPr>
      </xdr:nvCxnSpPr>
      <xdr:spPr>
        <a:xfrm flipH="1">
          <a:off x="11945029" y="2762249"/>
          <a:ext cx="6804" cy="544287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432705</xdr:colOff>
      <xdr:row>33</xdr:row>
      <xdr:rowOff>187776</xdr:rowOff>
    </xdr:from>
    <xdr:to>
      <xdr:col>18</xdr:col>
      <xdr:colOff>303894</xdr:colOff>
      <xdr:row>34</xdr:row>
      <xdr:rowOff>2269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CxnSpPr>
          <a:stCxn id="5" idx="3"/>
          <a:endCxn id="13" idx="1"/>
        </xdr:cNvCxnSpPr>
      </xdr:nvCxnSpPr>
      <xdr:spPr>
        <a:xfrm>
          <a:off x="14567805" y="6474276"/>
          <a:ext cx="480789" cy="499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214992</xdr:colOff>
      <xdr:row>11</xdr:row>
      <xdr:rowOff>78922</xdr:rowOff>
    </xdr:from>
    <xdr:to>
      <xdr:col>12</xdr:col>
      <xdr:colOff>224515</xdr:colOff>
      <xdr:row>11</xdr:row>
      <xdr:rowOff>81641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CxnSpPr>
          <a:stCxn id="6" idx="3"/>
          <a:endCxn id="8" idx="1"/>
        </xdr:cNvCxnSpPr>
      </xdr:nvCxnSpPr>
      <xdr:spPr>
        <a:xfrm>
          <a:off x="7072992" y="2174422"/>
          <a:ext cx="621844" cy="271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230715</xdr:colOff>
      <xdr:row>9</xdr:row>
      <xdr:rowOff>81490</xdr:rowOff>
    </xdr:from>
    <xdr:to>
      <xdr:col>16</xdr:col>
      <xdr:colOff>452965</xdr:colOff>
      <xdr:row>29</xdr:row>
      <xdr:rowOff>65617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669115" y="1795990"/>
          <a:ext cx="7537450" cy="37941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400" baseline="0">
            <a:latin typeface="Lucida Bright" panose="02040602050505020304" pitchFamily="18" charset="0"/>
          </a:endParaRPr>
        </a:p>
        <a:p>
          <a:endParaRPr lang="en-US" sz="1400" baseline="0">
            <a:latin typeface="Lucida Bright" panose="02040602050505020304" pitchFamily="18" charset="0"/>
          </a:endParaRPr>
        </a:p>
      </xdr:txBody>
    </xdr:sp>
    <xdr:clientData/>
  </xdr:twoCellAnchor>
  <xdr:twoCellAnchor>
    <xdr:from>
      <xdr:col>1</xdr:col>
      <xdr:colOff>19050</xdr:colOff>
      <xdr:row>1</xdr:row>
      <xdr:rowOff>180973</xdr:rowOff>
    </xdr:from>
    <xdr:to>
      <xdr:col>2</xdr:col>
      <xdr:colOff>465666</xdr:colOff>
      <xdr:row>6</xdr:row>
      <xdr:rowOff>169333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628650" y="371473"/>
          <a:ext cx="1056216" cy="940860"/>
        </a:xfrm>
        <a:prstGeom prst="leftArrow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>
              <a:latin typeface="Lucida Bright" panose="02040602050505020304" pitchFamily="18" charset="0"/>
            </a:rPr>
            <a:t>Back</a:t>
          </a:r>
        </a:p>
      </xdr:txBody>
    </xdr:sp>
    <xdr:clientData/>
  </xdr:twoCellAnchor>
  <xdr:twoCellAnchor>
    <xdr:from>
      <xdr:col>3</xdr:col>
      <xdr:colOff>292100</xdr:colOff>
      <xdr:row>2</xdr:row>
      <xdr:rowOff>131233</xdr:rowOff>
    </xdr:from>
    <xdr:to>
      <xdr:col>13</xdr:col>
      <xdr:colOff>101600</xdr:colOff>
      <xdr:row>6</xdr:row>
      <xdr:rowOff>35984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2120900" y="512233"/>
          <a:ext cx="5905500" cy="666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3200">
              <a:solidFill>
                <a:schemeClr val="accent3">
                  <a:lumMod val="50000"/>
                </a:schemeClr>
              </a:solidFill>
              <a:latin typeface="Lucida Bright" panose="02040602050505020304" pitchFamily="18" charset="0"/>
            </a:rPr>
            <a:t>15. Financial Performance</a:t>
          </a:r>
        </a:p>
      </xdr:txBody>
    </xdr:sp>
    <xdr:clientData/>
  </xdr:twoCellAnchor>
  <xdr:twoCellAnchor>
    <xdr:from>
      <xdr:col>0</xdr:col>
      <xdr:colOff>147108</xdr:colOff>
      <xdr:row>38</xdr:row>
      <xdr:rowOff>29633</xdr:rowOff>
    </xdr:from>
    <xdr:to>
      <xdr:col>3</xdr:col>
      <xdr:colOff>162983</xdr:colOff>
      <xdr:row>43</xdr:row>
      <xdr:rowOff>167216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108" y="7268633"/>
          <a:ext cx="1844675" cy="1090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US"/>
        </a:p>
        <a:p>
          <a:pPr algn="ctr"/>
          <a:r>
            <a:rPr lang="en-US" sz="1400"/>
            <a:t>© 2021, Regents</a:t>
          </a:r>
          <a:r>
            <a:rPr lang="en-US" sz="1400" baseline="0"/>
            <a:t> Park Holdings</a:t>
          </a:r>
          <a:r>
            <a:rPr lang="en-US" sz="1400"/>
            <a:t>.Inc.</a:t>
          </a:r>
        </a:p>
        <a:p>
          <a:pPr algn="ctr"/>
          <a:r>
            <a:rPr lang="en-US" sz="1400"/>
            <a:t> or its affiliates</a:t>
          </a:r>
        </a:p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9498\Downloads\SaaS-Economics-101-02-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9498\Downloads\SaaS-Metrics-4-16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ple SaaS analysis"/>
      <sheetName val="Licensed software"/>
      <sheetName val="Misc."/>
    </sheetNames>
    <sheetDataSet>
      <sheetData sheetId="0">
        <row r="25">
          <cell r="B25" t="str">
            <v>Month 1</v>
          </cell>
          <cell r="C25" t="str">
            <v>Month 2</v>
          </cell>
          <cell r="D25" t="str">
            <v>Month 3</v>
          </cell>
          <cell r="E25" t="str">
            <v>Month 4</v>
          </cell>
          <cell r="F25" t="str">
            <v>Month 5</v>
          </cell>
          <cell r="G25" t="str">
            <v>Month 6</v>
          </cell>
          <cell r="H25" t="str">
            <v>Month 7</v>
          </cell>
          <cell r="I25" t="str">
            <v>Month 8</v>
          </cell>
          <cell r="J25" t="str">
            <v>Month 9</v>
          </cell>
          <cell r="K25" t="str">
            <v>Month 10</v>
          </cell>
          <cell r="L25" t="str">
            <v>Month 11</v>
          </cell>
          <cell r="M25" t="str">
            <v>Month 12</v>
          </cell>
          <cell r="N25" t="str">
            <v>Month 13</v>
          </cell>
          <cell r="O25" t="str">
            <v>Month 14</v>
          </cell>
          <cell r="P25" t="str">
            <v>Month 15</v>
          </cell>
          <cell r="Q25" t="str">
            <v>Month 16</v>
          </cell>
          <cell r="R25" t="str">
            <v>Month 17</v>
          </cell>
          <cell r="S25" t="str">
            <v>Month 18</v>
          </cell>
        </row>
        <row r="26">
          <cell r="A26" t="str">
            <v>CAC (Cost to acquire the customer)</v>
          </cell>
          <cell r="B26">
            <v>-6000</v>
          </cell>
        </row>
        <row r="27">
          <cell r="A27" t="str">
            <v>Subscription payments * GM%</v>
          </cell>
          <cell r="B27">
            <v>0</v>
          </cell>
          <cell r="C27">
            <v>480</v>
          </cell>
          <cell r="D27">
            <v>480</v>
          </cell>
          <cell r="E27">
            <v>480</v>
          </cell>
          <cell r="F27">
            <v>480</v>
          </cell>
          <cell r="G27">
            <v>480</v>
          </cell>
          <cell r="H27">
            <v>480</v>
          </cell>
          <cell r="I27">
            <v>480</v>
          </cell>
          <cell r="J27">
            <v>480</v>
          </cell>
          <cell r="K27">
            <v>480</v>
          </cell>
          <cell r="L27">
            <v>480</v>
          </cell>
          <cell r="M27">
            <v>480</v>
          </cell>
        </row>
        <row r="29">
          <cell r="A29" t="str">
            <v>Cumulative Cash Flow</v>
          </cell>
          <cell r="B29">
            <v>-6000</v>
          </cell>
          <cell r="C29">
            <v>-5520</v>
          </cell>
          <cell r="D29">
            <v>-5040</v>
          </cell>
          <cell r="E29">
            <v>-4560</v>
          </cell>
          <cell r="F29">
            <v>-4080</v>
          </cell>
          <cell r="G29">
            <v>-3600</v>
          </cell>
          <cell r="H29">
            <v>-3120</v>
          </cell>
          <cell r="I29">
            <v>-2640</v>
          </cell>
          <cell r="J29">
            <v>-2160</v>
          </cell>
          <cell r="K29">
            <v>-1680</v>
          </cell>
          <cell r="L29">
            <v>-1200</v>
          </cell>
          <cell r="M29">
            <v>-720</v>
          </cell>
          <cell r="N29">
            <v>-240</v>
          </cell>
          <cell r="O29">
            <v>240</v>
          </cell>
          <cell r="P29">
            <v>720</v>
          </cell>
          <cell r="Q29">
            <v>1200</v>
          </cell>
          <cell r="R29">
            <v>1680</v>
          </cell>
          <cell r="S29">
            <v>2160</v>
          </cell>
        </row>
        <row r="35">
          <cell r="B35" t="str">
            <v>Month 1</v>
          </cell>
          <cell r="C35" t="str">
            <v>Month 2</v>
          </cell>
          <cell r="D35" t="str">
            <v>Month 3</v>
          </cell>
          <cell r="E35" t="str">
            <v>Month 4</v>
          </cell>
          <cell r="F35" t="str">
            <v>Month 5</v>
          </cell>
          <cell r="G35" t="str">
            <v>Month 6</v>
          </cell>
          <cell r="H35" t="str">
            <v>Month 7</v>
          </cell>
          <cell r="I35" t="str">
            <v>Month 8</v>
          </cell>
          <cell r="J35" t="str">
            <v>Month 9</v>
          </cell>
          <cell r="K35" t="str">
            <v>Month 10</v>
          </cell>
          <cell r="L35" t="str">
            <v>Month 11</v>
          </cell>
          <cell r="M35" t="str">
            <v>Month 12</v>
          </cell>
          <cell r="N35" t="str">
            <v>Month 13</v>
          </cell>
          <cell r="O35" t="str">
            <v>Month 14</v>
          </cell>
          <cell r="P35" t="str">
            <v>Month 15</v>
          </cell>
          <cell r="Q35" t="str">
            <v>Month 16</v>
          </cell>
          <cell r="R35" t="str">
            <v>Month 17</v>
          </cell>
          <cell r="S35" t="str">
            <v>Month 18</v>
          </cell>
          <cell r="T35" t="str">
            <v>Month 19</v>
          </cell>
          <cell r="U35" t="str">
            <v>Month 20</v>
          </cell>
          <cell r="V35" t="str">
            <v>Month 21</v>
          </cell>
          <cell r="W35" t="str">
            <v>Month 22</v>
          </cell>
          <cell r="X35" t="str">
            <v>Month 23</v>
          </cell>
          <cell r="Y35" t="str">
            <v>Month 24</v>
          </cell>
          <cell r="Z35" t="str">
            <v>Month 25</v>
          </cell>
          <cell r="AA35" t="str">
            <v>Month 26</v>
          </cell>
          <cell r="AB35" t="str">
            <v>Month 27</v>
          </cell>
          <cell r="AC35" t="str">
            <v>Month 28</v>
          </cell>
          <cell r="AD35" t="str">
            <v>Month 29</v>
          </cell>
          <cell r="AE35" t="str">
            <v>Month 30</v>
          </cell>
          <cell r="AF35" t="str">
            <v>Month 31</v>
          </cell>
          <cell r="AG35" t="str">
            <v>Month 32</v>
          </cell>
          <cell r="AH35" t="str">
            <v>Month 33</v>
          </cell>
          <cell r="AI35" t="str">
            <v>Month 34</v>
          </cell>
          <cell r="AJ35" t="str">
            <v>Month 35</v>
          </cell>
          <cell r="AK35" t="str">
            <v>Month 36</v>
          </cell>
          <cell r="AL35" t="str">
            <v>Month 37</v>
          </cell>
          <cell r="AM35" t="str">
            <v>Month 38</v>
          </cell>
          <cell r="AN35" t="str">
            <v>Month 39</v>
          </cell>
          <cell r="AO35" t="str">
            <v>Month 40</v>
          </cell>
          <cell r="AP35" t="str">
            <v>Month 41</v>
          </cell>
          <cell r="AQ35" t="str">
            <v>Month 42</v>
          </cell>
          <cell r="AR35" t="str">
            <v>Month 43</v>
          </cell>
          <cell r="AS35" t="str">
            <v>Month 44</v>
          </cell>
          <cell r="AT35" t="str">
            <v>Month 45</v>
          </cell>
          <cell r="AU35" t="str">
            <v>Month 46</v>
          </cell>
          <cell r="AV35" t="str">
            <v>Month 47</v>
          </cell>
          <cell r="AW35" t="str">
            <v>Month 48</v>
          </cell>
          <cell r="AX35" t="str">
            <v>Month 49</v>
          </cell>
          <cell r="AY35" t="str">
            <v>Month 50</v>
          </cell>
          <cell r="AZ35" t="str">
            <v>Month 51</v>
          </cell>
          <cell r="BA35" t="str">
            <v>Month 52</v>
          </cell>
          <cell r="BB35" t="str">
            <v>Month 53</v>
          </cell>
          <cell r="BC35" t="str">
            <v>Month 54</v>
          </cell>
          <cell r="BD35" t="str">
            <v>Month 55</v>
          </cell>
          <cell r="BE35" t="str">
            <v>Month 56</v>
          </cell>
          <cell r="BF35" t="str">
            <v>Month 57</v>
          </cell>
          <cell r="BG35" t="str">
            <v>Month 58</v>
          </cell>
          <cell r="BH35" t="str">
            <v>Month 59</v>
          </cell>
          <cell r="BI35" t="str">
            <v>Month 60</v>
          </cell>
        </row>
        <row r="39">
          <cell r="A39" t="str">
            <v>CAC</v>
          </cell>
          <cell r="B39">
            <v>-60000</v>
          </cell>
          <cell r="C39">
            <v>-72000</v>
          </cell>
          <cell r="D39">
            <v>-84000</v>
          </cell>
          <cell r="E39">
            <v>-96000</v>
          </cell>
          <cell r="F39">
            <v>-108000</v>
          </cell>
          <cell r="G39">
            <v>-120000</v>
          </cell>
          <cell r="H39">
            <v>-132000</v>
          </cell>
          <cell r="I39">
            <v>-144000</v>
          </cell>
          <cell r="J39">
            <v>-156000</v>
          </cell>
          <cell r="K39">
            <v>-168000</v>
          </cell>
          <cell r="L39">
            <v>-180000</v>
          </cell>
          <cell r="M39">
            <v>-192000</v>
          </cell>
          <cell r="N39">
            <v>-204000</v>
          </cell>
          <cell r="O39">
            <v>-216000</v>
          </cell>
          <cell r="P39">
            <v>-228000</v>
          </cell>
          <cell r="Q39">
            <v>-240000</v>
          </cell>
          <cell r="R39">
            <v>-252000</v>
          </cell>
          <cell r="S39">
            <v>-264000</v>
          </cell>
          <cell r="T39">
            <v>-276000</v>
          </cell>
          <cell r="U39">
            <v>-288000</v>
          </cell>
          <cell r="V39">
            <v>-300000</v>
          </cell>
          <cell r="W39">
            <v>-312000</v>
          </cell>
          <cell r="X39">
            <v>-324000</v>
          </cell>
          <cell r="Y39">
            <v>-336000</v>
          </cell>
          <cell r="Z39">
            <v>-348000</v>
          </cell>
          <cell r="AA39">
            <v>-360000</v>
          </cell>
          <cell r="AB39">
            <v>-372000</v>
          </cell>
          <cell r="AC39">
            <v>-384000</v>
          </cell>
          <cell r="AD39">
            <v>-396000</v>
          </cell>
          <cell r="AE39">
            <v>-408000</v>
          </cell>
          <cell r="AF39">
            <v>-420000</v>
          </cell>
          <cell r="AG39">
            <v>-432000</v>
          </cell>
          <cell r="AH39">
            <v>-444000</v>
          </cell>
          <cell r="AI39">
            <v>-456000</v>
          </cell>
          <cell r="AJ39">
            <v>-468000</v>
          </cell>
          <cell r="AK39">
            <v>-480000</v>
          </cell>
          <cell r="AL39">
            <v>-492000</v>
          </cell>
          <cell r="AM39">
            <v>-504000</v>
          </cell>
          <cell r="AN39">
            <v>-516000</v>
          </cell>
          <cell r="AO39">
            <v>-528000</v>
          </cell>
          <cell r="AP39">
            <v>-540000</v>
          </cell>
          <cell r="AQ39">
            <v>-552000</v>
          </cell>
          <cell r="AR39">
            <v>-564000</v>
          </cell>
          <cell r="AS39">
            <v>-576000</v>
          </cell>
          <cell r="AT39">
            <v>-588000</v>
          </cell>
          <cell r="AU39">
            <v>-600000</v>
          </cell>
          <cell r="AV39">
            <v>-612000</v>
          </cell>
          <cell r="AW39">
            <v>-624000</v>
          </cell>
          <cell r="AX39">
            <v>-636000</v>
          </cell>
          <cell r="AY39">
            <v>-648000</v>
          </cell>
          <cell r="AZ39">
            <v>-660000</v>
          </cell>
          <cell r="BA39">
            <v>-672000</v>
          </cell>
          <cell r="BB39">
            <v>-684000</v>
          </cell>
          <cell r="BC39">
            <v>-696000</v>
          </cell>
          <cell r="BD39">
            <v>-708000</v>
          </cell>
          <cell r="BE39">
            <v>-720000</v>
          </cell>
          <cell r="BF39">
            <v>-732000</v>
          </cell>
          <cell r="BG39">
            <v>-744000</v>
          </cell>
          <cell r="BH39">
            <v>-756000</v>
          </cell>
          <cell r="BI39">
            <v>-768000</v>
          </cell>
        </row>
        <row r="40">
          <cell r="A40" t="str">
            <v>Subscription Payments * GM%</v>
          </cell>
          <cell r="B40">
            <v>4800</v>
          </cell>
          <cell r="C40">
            <v>10560</v>
          </cell>
          <cell r="D40">
            <v>16800</v>
          </cell>
          <cell r="E40">
            <v>24000</v>
          </cell>
          <cell r="F40">
            <v>32160</v>
          </cell>
          <cell r="G40">
            <v>40800</v>
          </cell>
          <cell r="H40">
            <v>50400</v>
          </cell>
          <cell r="I40">
            <v>60480</v>
          </cell>
          <cell r="J40">
            <v>71520</v>
          </cell>
          <cell r="K40">
            <v>83040</v>
          </cell>
          <cell r="L40">
            <v>95520</v>
          </cell>
          <cell r="M40">
            <v>108480</v>
          </cell>
          <cell r="N40">
            <v>121920</v>
          </cell>
          <cell r="O40">
            <v>136320</v>
          </cell>
          <cell r="P40">
            <v>151200</v>
          </cell>
          <cell r="Q40">
            <v>166560</v>
          </cell>
          <cell r="R40">
            <v>182400</v>
          </cell>
          <cell r="S40">
            <v>198720</v>
          </cell>
          <cell r="T40">
            <v>216000</v>
          </cell>
          <cell r="U40">
            <v>233760</v>
          </cell>
          <cell r="V40">
            <v>252000</v>
          </cell>
          <cell r="W40">
            <v>270720</v>
          </cell>
          <cell r="X40">
            <v>289920</v>
          </cell>
          <cell r="Y40">
            <v>309600</v>
          </cell>
          <cell r="Z40">
            <v>329760</v>
          </cell>
          <cell r="AA40">
            <v>350400</v>
          </cell>
          <cell r="AB40">
            <v>371520</v>
          </cell>
          <cell r="AC40">
            <v>393120</v>
          </cell>
          <cell r="AD40">
            <v>415200</v>
          </cell>
          <cell r="AE40">
            <v>437280</v>
          </cell>
          <cell r="AF40">
            <v>459840</v>
          </cell>
          <cell r="AG40">
            <v>482880</v>
          </cell>
          <cell r="AH40">
            <v>506400</v>
          </cell>
          <cell r="AI40">
            <v>530400</v>
          </cell>
          <cell r="AJ40">
            <v>554400</v>
          </cell>
          <cell r="AK40">
            <v>578880</v>
          </cell>
          <cell r="AL40">
            <v>603840</v>
          </cell>
          <cell r="AM40">
            <v>629280</v>
          </cell>
          <cell r="AN40">
            <v>654720</v>
          </cell>
          <cell r="AO40">
            <v>680640</v>
          </cell>
          <cell r="AP40">
            <v>707040</v>
          </cell>
          <cell r="AQ40">
            <v>733440</v>
          </cell>
          <cell r="AR40">
            <v>760320</v>
          </cell>
          <cell r="AS40">
            <v>787200</v>
          </cell>
          <cell r="AT40">
            <v>814560</v>
          </cell>
          <cell r="AU40">
            <v>842400</v>
          </cell>
          <cell r="AV40">
            <v>870240</v>
          </cell>
          <cell r="AW40">
            <v>898560</v>
          </cell>
          <cell r="AX40">
            <v>926880</v>
          </cell>
          <cell r="AY40">
            <v>955680</v>
          </cell>
          <cell r="AZ40">
            <v>984480</v>
          </cell>
          <cell r="BA40">
            <v>1013760</v>
          </cell>
          <cell r="BB40">
            <v>1043040</v>
          </cell>
          <cell r="BC40">
            <v>1072800</v>
          </cell>
          <cell r="BD40">
            <v>1102560</v>
          </cell>
          <cell r="BE40">
            <v>1132800</v>
          </cell>
          <cell r="BF40">
            <v>1163040</v>
          </cell>
          <cell r="BG40">
            <v>1193280</v>
          </cell>
          <cell r="BH40">
            <v>1224000</v>
          </cell>
          <cell r="BI40">
            <v>1254720</v>
          </cell>
        </row>
        <row r="42">
          <cell r="A42" t="str">
            <v>Cumulative Cash Flow</v>
          </cell>
          <cell r="B42">
            <v>-55200</v>
          </cell>
          <cell r="C42">
            <v>-116640</v>
          </cell>
          <cell r="D42">
            <v>-183840</v>
          </cell>
          <cell r="E42">
            <v>-255840</v>
          </cell>
          <cell r="F42">
            <v>-331680</v>
          </cell>
          <cell r="G42">
            <v>-410880</v>
          </cell>
          <cell r="H42">
            <v>-492480</v>
          </cell>
          <cell r="I42">
            <v>-576000</v>
          </cell>
          <cell r="J42">
            <v>-660480</v>
          </cell>
          <cell r="K42">
            <v>-745440</v>
          </cell>
          <cell r="L42">
            <v>-829920</v>
          </cell>
          <cell r="M42">
            <v>-913440</v>
          </cell>
          <cell r="N42">
            <v>-995520</v>
          </cell>
          <cell r="O42">
            <v>-1075200</v>
          </cell>
          <cell r="P42">
            <v>-1152000</v>
          </cell>
          <cell r="Q42">
            <v>-1225440</v>
          </cell>
          <cell r="R42">
            <v>-1295040</v>
          </cell>
          <cell r="S42">
            <v>-1360320</v>
          </cell>
          <cell r="T42">
            <v>-1420320</v>
          </cell>
          <cell r="U42">
            <v>-1474560</v>
          </cell>
          <cell r="V42">
            <v>-1522560</v>
          </cell>
          <cell r="W42">
            <v>-1563840</v>
          </cell>
          <cell r="X42">
            <v>-1597920</v>
          </cell>
          <cell r="Y42">
            <v>-1624320</v>
          </cell>
          <cell r="Z42">
            <v>-1642560</v>
          </cell>
          <cell r="AA42">
            <v>-1652160</v>
          </cell>
          <cell r="AB42">
            <v>-1652640</v>
          </cell>
          <cell r="AC42">
            <v>-1643520</v>
          </cell>
          <cell r="AD42">
            <v>-1624320</v>
          </cell>
          <cell r="AE42">
            <v>-1595040</v>
          </cell>
          <cell r="AF42">
            <v>-1555200</v>
          </cell>
          <cell r="AG42">
            <v>-1504320</v>
          </cell>
          <cell r="AH42">
            <v>-1441920</v>
          </cell>
          <cell r="AI42">
            <v>-1367520</v>
          </cell>
          <cell r="AJ42">
            <v>-1281120</v>
          </cell>
          <cell r="AK42">
            <v>-1182240</v>
          </cell>
          <cell r="AL42">
            <v>-1070400</v>
          </cell>
          <cell r="AM42">
            <v>-945120</v>
          </cell>
          <cell r="AN42">
            <v>-806400</v>
          </cell>
          <cell r="AO42">
            <v>-653760</v>
          </cell>
          <cell r="AP42">
            <v>-486720</v>
          </cell>
          <cell r="AQ42">
            <v>-305280</v>
          </cell>
          <cell r="AR42">
            <v>-108960</v>
          </cell>
          <cell r="AS42">
            <v>102240</v>
          </cell>
          <cell r="AT42">
            <v>328800</v>
          </cell>
          <cell r="AU42">
            <v>571200</v>
          </cell>
          <cell r="AV42">
            <v>829440</v>
          </cell>
          <cell r="AW42">
            <v>1104000</v>
          </cell>
          <cell r="AX42">
            <v>1394880</v>
          </cell>
          <cell r="AY42">
            <v>1702560</v>
          </cell>
          <cell r="AZ42">
            <v>2027040</v>
          </cell>
          <cell r="BA42">
            <v>2368800</v>
          </cell>
          <cell r="BB42">
            <v>2727840</v>
          </cell>
          <cell r="BC42">
            <v>3104640</v>
          </cell>
          <cell r="BD42">
            <v>3499200</v>
          </cell>
          <cell r="BE42">
            <v>3912000</v>
          </cell>
          <cell r="BF42">
            <v>4343040</v>
          </cell>
          <cell r="BG42">
            <v>4792320</v>
          </cell>
          <cell r="BH42">
            <v>5260320</v>
          </cell>
          <cell r="BI42">
            <v>5747040</v>
          </cell>
        </row>
        <row r="69">
          <cell r="B69" t="str">
            <v>Month 1</v>
          </cell>
          <cell r="C69" t="str">
            <v>Month 2</v>
          </cell>
          <cell r="D69" t="str">
            <v>Month 3</v>
          </cell>
          <cell r="E69" t="str">
            <v>Month 4</v>
          </cell>
          <cell r="F69" t="str">
            <v>Month 5</v>
          </cell>
          <cell r="G69" t="str">
            <v>Month 6</v>
          </cell>
          <cell r="H69" t="str">
            <v>Month 7</v>
          </cell>
          <cell r="I69" t="str">
            <v>Month 8</v>
          </cell>
          <cell r="J69" t="str">
            <v>Month 9</v>
          </cell>
          <cell r="K69" t="str">
            <v>Month 10</v>
          </cell>
          <cell r="L69" t="str">
            <v>Month 11</v>
          </cell>
          <cell r="M69" t="str">
            <v>Month 12</v>
          </cell>
          <cell r="N69" t="str">
            <v>Month 13</v>
          </cell>
          <cell r="O69" t="str">
            <v>Month 14</v>
          </cell>
          <cell r="P69" t="str">
            <v>Month 15</v>
          </cell>
          <cell r="Q69" t="str">
            <v>Month 16</v>
          </cell>
          <cell r="R69" t="str">
            <v>Month 17</v>
          </cell>
          <cell r="S69" t="str">
            <v>Month 18</v>
          </cell>
          <cell r="T69" t="str">
            <v>Month 19</v>
          </cell>
          <cell r="U69" t="str">
            <v>Month 20</v>
          </cell>
          <cell r="V69" t="str">
            <v>Month 21</v>
          </cell>
          <cell r="W69" t="str">
            <v>Month 22</v>
          </cell>
          <cell r="X69" t="str">
            <v>Month 23</v>
          </cell>
          <cell r="Y69" t="str">
            <v>Month 24</v>
          </cell>
          <cell r="Z69" t="str">
            <v>Month 25</v>
          </cell>
          <cell r="AA69" t="str">
            <v>Month 26</v>
          </cell>
          <cell r="AB69" t="str">
            <v>Month 27</v>
          </cell>
          <cell r="AC69" t="str">
            <v>Month 28</v>
          </cell>
          <cell r="AD69" t="str">
            <v>Month 29</v>
          </cell>
          <cell r="AE69" t="str">
            <v>Month 30</v>
          </cell>
          <cell r="AF69" t="str">
            <v>Month 31</v>
          </cell>
          <cell r="AG69" t="str">
            <v>Month 32</v>
          </cell>
          <cell r="AH69" t="str">
            <v>Month 33</v>
          </cell>
          <cell r="AI69" t="str">
            <v>Month 34</v>
          </cell>
          <cell r="AJ69" t="str">
            <v>Month 35</v>
          </cell>
          <cell r="AK69" t="str">
            <v>Month 36</v>
          </cell>
          <cell r="AL69" t="str">
            <v>Month 37</v>
          </cell>
          <cell r="AM69" t="str">
            <v>Month 38</v>
          </cell>
          <cell r="AN69" t="str">
            <v>Month 39</v>
          </cell>
          <cell r="AO69" t="str">
            <v>Month 40</v>
          </cell>
          <cell r="AP69" t="str">
            <v>Month 41</v>
          </cell>
          <cell r="AQ69" t="str">
            <v>Month 42</v>
          </cell>
          <cell r="AR69" t="str">
            <v>Month 43</v>
          </cell>
          <cell r="AS69" t="str">
            <v>Month 44</v>
          </cell>
          <cell r="AT69" t="str">
            <v>Month 45</v>
          </cell>
          <cell r="AU69" t="str">
            <v>Month 46</v>
          </cell>
          <cell r="AV69" t="str">
            <v>Month 47</v>
          </cell>
          <cell r="AW69" t="str">
            <v>Month 48</v>
          </cell>
          <cell r="AX69" t="str">
            <v>Month 49</v>
          </cell>
          <cell r="AY69" t="str">
            <v>Month 50</v>
          </cell>
          <cell r="AZ69" t="str">
            <v>Month 51</v>
          </cell>
          <cell r="BA69" t="str">
            <v>Month 52</v>
          </cell>
          <cell r="BB69" t="str">
            <v>Month 53</v>
          </cell>
          <cell r="BC69" t="str">
            <v>Month 54</v>
          </cell>
          <cell r="BD69" t="str">
            <v>Month 55</v>
          </cell>
          <cell r="BE69" t="str">
            <v>Month 56</v>
          </cell>
          <cell r="BF69" t="str">
            <v>Month 57</v>
          </cell>
          <cell r="BG69" t="str">
            <v>Month 58</v>
          </cell>
          <cell r="BH69" t="str">
            <v>Month 59</v>
          </cell>
          <cell r="BI69" t="str">
            <v>Month 60</v>
          </cell>
        </row>
        <row r="70">
          <cell r="A70" t="str">
            <v>Growth Rate: 2 more custs per mnth</v>
          </cell>
          <cell r="B70">
            <v>-55200</v>
          </cell>
          <cell r="C70">
            <v>-116640</v>
          </cell>
          <cell r="D70">
            <v>-183840</v>
          </cell>
          <cell r="E70">
            <v>-255840</v>
          </cell>
          <cell r="F70">
            <v>-331680</v>
          </cell>
          <cell r="G70">
            <v>-410880</v>
          </cell>
          <cell r="H70">
            <v>-492480</v>
          </cell>
          <cell r="I70">
            <v>-576000</v>
          </cell>
          <cell r="J70">
            <v>-660480</v>
          </cell>
          <cell r="K70">
            <v>-745440</v>
          </cell>
          <cell r="L70">
            <v>-829920</v>
          </cell>
          <cell r="M70">
            <v>-913440</v>
          </cell>
          <cell r="N70">
            <v>-995520</v>
          </cell>
          <cell r="O70">
            <v>-1075200</v>
          </cell>
          <cell r="P70">
            <v>-1152000</v>
          </cell>
          <cell r="Q70">
            <v>-1225440</v>
          </cell>
          <cell r="R70">
            <v>-1295040</v>
          </cell>
          <cell r="S70">
            <v>-1360320</v>
          </cell>
          <cell r="T70">
            <v>-1420320</v>
          </cell>
          <cell r="U70">
            <v>-1474560</v>
          </cell>
          <cell r="V70">
            <v>-1522560</v>
          </cell>
          <cell r="W70">
            <v>-1563840</v>
          </cell>
          <cell r="X70">
            <v>-1597920</v>
          </cell>
          <cell r="Y70">
            <v>-1624320</v>
          </cell>
          <cell r="Z70">
            <v>-1642560</v>
          </cell>
          <cell r="AA70">
            <v>-1652160</v>
          </cell>
          <cell r="AB70">
            <v>-1652640</v>
          </cell>
          <cell r="AC70">
            <v>-1643520</v>
          </cell>
          <cell r="AD70">
            <v>-1624320</v>
          </cell>
          <cell r="AE70">
            <v>-1595040</v>
          </cell>
          <cell r="AF70">
            <v>-1555200</v>
          </cell>
          <cell r="AG70">
            <v>-1504320</v>
          </cell>
          <cell r="AH70">
            <v>-1441920</v>
          </cell>
          <cell r="AI70">
            <v>-1367520</v>
          </cell>
          <cell r="AJ70">
            <v>-1281120</v>
          </cell>
          <cell r="AK70">
            <v>-1182240</v>
          </cell>
          <cell r="AL70">
            <v>-1070400</v>
          </cell>
          <cell r="AM70">
            <v>-945120</v>
          </cell>
          <cell r="AN70">
            <v>-806400</v>
          </cell>
          <cell r="AO70">
            <v>-653760</v>
          </cell>
          <cell r="AP70">
            <v>-486720</v>
          </cell>
          <cell r="AQ70">
            <v>-305280</v>
          </cell>
          <cell r="AR70">
            <v>-108960</v>
          </cell>
          <cell r="AS70">
            <v>102240</v>
          </cell>
          <cell r="AT70">
            <v>328800</v>
          </cell>
          <cell r="AU70">
            <v>571200</v>
          </cell>
          <cell r="AV70">
            <v>829440</v>
          </cell>
          <cell r="AW70">
            <v>1104000</v>
          </cell>
          <cell r="AX70">
            <v>1394880</v>
          </cell>
          <cell r="AY70">
            <v>1702560</v>
          </cell>
          <cell r="AZ70">
            <v>2027040</v>
          </cell>
          <cell r="BA70">
            <v>2368800</v>
          </cell>
          <cell r="BB70">
            <v>2727840</v>
          </cell>
          <cell r="BC70">
            <v>3104640</v>
          </cell>
          <cell r="BD70">
            <v>3499200</v>
          </cell>
          <cell r="BE70">
            <v>3912000</v>
          </cell>
          <cell r="BF70">
            <v>4343040</v>
          </cell>
          <cell r="BG70">
            <v>4792320</v>
          </cell>
          <cell r="BH70">
            <v>5260320</v>
          </cell>
          <cell r="BI70">
            <v>5747040</v>
          </cell>
        </row>
        <row r="71">
          <cell r="A71" t="str">
            <v>Growth Rate: 5 more custs per mnth</v>
          </cell>
          <cell r="B71">
            <v>-55200</v>
          </cell>
          <cell r="C71">
            <v>-133200</v>
          </cell>
          <cell r="D71">
            <v>-232080</v>
          </cell>
          <cell r="E71">
            <v>-349440</v>
          </cell>
          <cell r="F71">
            <v>-483360</v>
          </cell>
          <cell r="G71">
            <v>-631440</v>
          </cell>
          <cell r="H71">
            <v>-791760</v>
          </cell>
          <cell r="I71">
            <v>-962400</v>
          </cell>
          <cell r="J71">
            <v>-1141440</v>
          </cell>
          <cell r="K71">
            <v>-1326960</v>
          </cell>
          <cell r="L71">
            <v>-1517520</v>
          </cell>
          <cell r="M71">
            <v>-1711200</v>
          </cell>
          <cell r="N71">
            <v>-1906080</v>
          </cell>
          <cell r="O71">
            <v>-2100720</v>
          </cell>
          <cell r="P71">
            <v>-2293200</v>
          </cell>
          <cell r="Q71">
            <v>-2482080</v>
          </cell>
          <cell r="R71">
            <v>-2665920</v>
          </cell>
          <cell r="S71">
            <v>-2843280</v>
          </cell>
          <cell r="T71">
            <v>-3012240</v>
          </cell>
          <cell r="U71">
            <v>-3171360</v>
          </cell>
          <cell r="V71">
            <v>-3319680</v>
          </cell>
          <cell r="W71">
            <v>-3455760</v>
          </cell>
          <cell r="X71">
            <v>-3578160</v>
          </cell>
          <cell r="Y71">
            <v>-3685440</v>
          </cell>
          <cell r="Z71">
            <v>-3776160</v>
          </cell>
          <cell r="AA71">
            <v>-3849360</v>
          </cell>
          <cell r="AB71">
            <v>-3903600</v>
          </cell>
          <cell r="AC71">
            <v>-3937920</v>
          </cell>
          <cell r="AD71">
            <v>-3951360</v>
          </cell>
          <cell r="AE71">
            <v>-3942480</v>
          </cell>
          <cell r="AF71">
            <v>-3910320</v>
          </cell>
          <cell r="AG71">
            <v>-3853920</v>
          </cell>
          <cell r="AH71">
            <v>-3772320</v>
          </cell>
          <cell r="AI71">
            <v>-3664080</v>
          </cell>
          <cell r="AJ71">
            <v>-3528240</v>
          </cell>
          <cell r="AK71">
            <v>-3363840</v>
          </cell>
          <cell r="AL71">
            <v>-3169920</v>
          </cell>
          <cell r="AM71">
            <v>-2945520</v>
          </cell>
          <cell r="AN71">
            <v>-2690160</v>
          </cell>
          <cell r="AO71">
            <v>-2402880</v>
          </cell>
          <cell r="AP71">
            <v>-2082720</v>
          </cell>
          <cell r="AQ71">
            <v>-1728720</v>
          </cell>
          <cell r="AR71">
            <v>-1340400</v>
          </cell>
          <cell r="AS71">
            <v>-916800</v>
          </cell>
          <cell r="AT71">
            <v>-456960</v>
          </cell>
          <cell r="AU71">
            <v>39600</v>
          </cell>
          <cell r="AV71">
            <v>573840</v>
          </cell>
          <cell r="AW71">
            <v>1146240</v>
          </cell>
          <cell r="AX71">
            <v>1757760</v>
          </cell>
          <cell r="AY71">
            <v>2408880</v>
          </cell>
          <cell r="AZ71">
            <v>3100080</v>
          </cell>
          <cell r="BA71">
            <v>3832320</v>
          </cell>
          <cell r="BB71">
            <v>4606080</v>
          </cell>
          <cell r="BC71">
            <v>5421840</v>
          </cell>
          <cell r="BD71">
            <v>6280560</v>
          </cell>
          <cell r="BE71">
            <v>7182720</v>
          </cell>
          <cell r="BF71">
            <v>8128800</v>
          </cell>
          <cell r="BG71">
            <v>9119280</v>
          </cell>
          <cell r="BH71">
            <v>10154640</v>
          </cell>
          <cell r="BI71">
            <v>11235360</v>
          </cell>
        </row>
        <row r="72">
          <cell r="A72" t="str">
            <v>Growth Rate: 10 more custs per mnth</v>
          </cell>
          <cell r="B72">
            <v>-55200</v>
          </cell>
          <cell r="C72">
            <v>-160800</v>
          </cell>
          <cell r="D72">
            <v>-312480</v>
          </cell>
          <cell r="E72">
            <v>-505440</v>
          </cell>
          <cell r="F72">
            <v>-735360</v>
          </cell>
          <cell r="G72">
            <v>-998400</v>
          </cell>
          <cell r="H72">
            <v>-1290240</v>
          </cell>
          <cell r="I72">
            <v>-1607040</v>
          </cell>
          <cell r="J72">
            <v>-1944960</v>
          </cell>
          <cell r="K72">
            <v>-2300160</v>
          </cell>
          <cell r="L72">
            <v>-2668800</v>
          </cell>
          <cell r="M72">
            <v>-3047040</v>
          </cell>
          <cell r="N72">
            <v>-3431520</v>
          </cell>
          <cell r="O72">
            <v>-3818880</v>
          </cell>
          <cell r="P72">
            <v>-4205760</v>
          </cell>
          <cell r="Q72">
            <v>-4588800</v>
          </cell>
          <cell r="R72">
            <v>-4964640</v>
          </cell>
          <cell r="S72">
            <v>-5330400</v>
          </cell>
          <cell r="T72">
            <v>-5682720</v>
          </cell>
          <cell r="U72">
            <v>-6018720</v>
          </cell>
          <cell r="V72">
            <v>-6335520</v>
          </cell>
          <cell r="W72">
            <v>-6630240</v>
          </cell>
          <cell r="X72">
            <v>-6900000</v>
          </cell>
          <cell r="Y72">
            <v>-7142400</v>
          </cell>
          <cell r="Z72">
            <v>-7354560</v>
          </cell>
          <cell r="AA72">
            <v>-7534080</v>
          </cell>
          <cell r="AB72">
            <v>-7678560</v>
          </cell>
          <cell r="AC72">
            <v>-7785600</v>
          </cell>
          <cell r="AD72">
            <v>-7852800</v>
          </cell>
          <cell r="AE72">
            <v>-7877760</v>
          </cell>
          <cell r="AF72">
            <v>-7858080</v>
          </cell>
          <cell r="AG72">
            <v>-7791840</v>
          </cell>
          <cell r="AH72">
            <v>-7676640</v>
          </cell>
          <cell r="AI72">
            <v>-7510560</v>
          </cell>
          <cell r="AJ72">
            <v>-7291680</v>
          </cell>
          <cell r="AK72">
            <v>-7018080</v>
          </cell>
          <cell r="AL72">
            <v>-6687840</v>
          </cell>
          <cell r="AM72">
            <v>-6299040</v>
          </cell>
          <cell r="AN72">
            <v>-5849760</v>
          </cell>
          <cell r="AO72">
            <v>-5338080</v>
          </cell>
          <cell r="AP72">
            <v>-4762560</v>
          </cell>
          <cell r="AQ72">
            <v>-4121280</v>
          </cell>
          <cell r="AR72">
            <v>-3412800</v>
          </cell>
          <cell r="AS72">
            <v>-2635200</v>
          </cell>
          <cell r="AT72">
            <v>-1787040</v>
          </cell>
          <cell r="AU72">
            <v>-866880</v>
          </cell>
          <cell r="AV72">
            <v>126720</v>
          </cell>
          <cell r="AW72">
            <v>1195200</v>
          </cell>
          <cell r="AX72">
            <v>2340000</v>
          </cell>
          <cell r="AY72">
            <v>3562560</v>
          </cell>
          <cell r="AZ72">
            <v>4864320</v>
          </cell>
          <cell r="BA72">
            <v>6246720</v>
          </cell>
          <cell r="BB72">
            <v>7710720</v>
          </cell>
          <cell r="BC72">
            <v>9257760</v>
          </cell>
          <cell r="BD72">
            <v>10889280</v>
          </cell>
          <cell r="BE72">
            <v>12606240</v>
          </cell>
          <cell r="BF72">
            <v>14410080</v>
          </cell>
          <cell r="BG72">
            <v>16301760</v>
          </cell>
          <cell r="BH72">
            <v>18282240</v>
          </cell>
          <cell r="BI72">
            <v>20352480</v>
          </cell>
        </row>
        <row r="106">
          <cell r="B106" t="str">
            <v>Month 1</v>
          </cell>
          <cell r="C106" t="str">
            <v>Month 2</v>
          </cell>
          <cell r="D106" t="str">
            <v>Month 3</v>
          </cell>
          <cell r="E106" t="str">
            <v>Month 4</v>
          </cell>
          <cell r="F106" t="str">
            <v>Month 5</v>
          </cell>
          <cell r="G106" t="str">
            <v>Month 6</v>
          </cell>
          <cell r="H106" t="str">
            <v>Month 7</v>
          </cell>
          <cell r="I106" t="str">
            <v>Month 8</v>
          </cell>
          <cell r="J106" t="str">
            <v>Month 9</v>
          </cell>
          <cell r="K106" t="str">
            <v>Month 10</v>
          </cell>
          <cell r="L106" t="str">
            <v>Month 11</v>
          </cell>
          <cell r="M106" t="str">
            <v>Month 12</v>
          </cell>
          <cell r="N106" t="str">
            <v>Month 13</v>
          </cell>
          <cell r="O106" t="str">
            <v>Month 14</v>
          </cell>
          <cell r="P106" t="str">
            <v>Month 15</v>
          </cell>
          <cell r="Q106" t="str">
            <v>Month 16</v>
          </cell>
          <cell r="R106" t="str">
            <v>Month 17</v>
          </cell>
          <cell r="S106" t="str">
            <v>Month 18</v>
          </cell>
          <cell r="T106" t="str">
            <v>Month 19</v>
          </cell>
          <cell r="U106" t="str">
            <v>Month 20</v>
          </cell>
          <cell r="V106" t="str">
            <v>Month 21</v>
          </cell>
          <cell r="W106" t="str">
            <v>Month 22</v>
          </cell>
          <cell r="X106" t="str">
            <v>Month 23</v>
          </cell>
          <cell r="Y106" t="str">
            <v>Month 24</v>
          </cell>
          <cell r="Z106" t="str">
            <v>Month 25</v>
          </cell>
          <cell r="AA106" t="str">
            <v>Month 26</v>
          </cell>
          <cell r="AB106" t="str">
            <v>Month 27</v>
          </cell>
          <cell r="AC106" t="str">
            <v>Month 28</v>
          </cell>
          <cell r="AD106" t="str">
            <v>Month 29</v>
          </cell>
          <cell r="AE106" t="str">
            <v>Month 30</v>
          </cell>
          <cell r="AF106" t="str">
            <v>Month 31</v>
          </cell>
          <cell r="AG106" t="str">
            <v>Month 32</v>
          </cell>
          <cell r="AH106" t="str">
            <v>Month 33</v>
          </cell>
          <cell r="AI106" t="str">
            <v>Month 34</v>
          </cell>
          <cell r="AJ106" t="str">
            <v>Month 35</v>
          </cell>
          <cell r="AK106" t="str">
            <v>Month 36</v>
          </cell>
          <cell r="AL106" t="str">
            <v>Month 37</v>
          </cell>
          <cell r="AM106" t="str">
            <v>Month 38</v>
          </cell>
          <cell r="AN106" t="str">
            <v>Month 39</v>
          </cell>
          <cell r="AO106" t="str">
            <v>Month 40</v>
          </cell>
          <cell r="AP106" t="str">
            <v>Month 41</v>
          </cell>
          <cell r="AQ106" t="str">
            <v>Month 42</v>
          </cell>
          <cell r="AR106" t="str">
            <v>Month 43</v>
          </cell>
          <cell r="AS106" t="str">
            <v>Month 44</v>
          </cell>
          <cell r="AT106" t="str">
            <v>Month 45</v>
          </cell>
          <cell r="AU106" t="str">
            <v>Month 46</v>
          </cell>
          <cell r="AV106" t="str">
            <v>Month 47</v>
          </cell>
          <cell r="AW106" t="str">
            <v>Month 48</v>
          </cell>
          <cell r="AX106" t="str">
            <v>Month 49</v>
          </cell>
          <cell r="AY106" t="str">
            <v>Month 50</v>
          </cell>
          <cell r="AZ106" t="str">
            <v>Month 51</v>
          </cell>
          <cell r="BA106" t="str">
            <v>Month 52</v>
          </cell>
          <cell r="BB106" t="str">
            <v>Month 53</v>
          </cell>
          <cell r="BC106" t="str">
            <v>Month 54</v>
          </cell>
          <cell r="BD106" t="str">
            <v>Month 55</v>
          </cell>
          <cell r="BE106" t="str">
            <v>Month 56</v>
          </cell>
          <cell r="BF106" t="str">
            <v>Month 57</v>
          </cell>
          <cell r="BG106" t="str">
            <v>Month 58</v>
          </cell>
          <cell r="BH106" t="str">
            <v>Month 59</v>
          </cell>
          <cell r="BI106" t="str">
            <v>Month 60</v>
          </cell>
        </row>
        <row r="107">
          <cell r="A107" t="str">
            <v>Months to recover CAC: 6.3</v>
          </cell>
          <cell r="B107">
            <v>-50400</v>
          </cell>
          <cell r="C107">
            <v>-102240</v>
          </cell>
          <cell r="D107">
            <v>-153600</v>
          </cell>
          <cell r="E107">
            <v>-203520</v>
          </cell>
          <cell r="F107">
            <v>-250080</v>
          </cell>
          <cell r="G107">
            <v>-292320</v>
          </cell>
          <cell r="H107">
            <v>-329280</v>
          </cell>
          <cell r="I107">
            <v>-360000</v>
          </cell>
          <cell r="J107">
            <v>-383520</v>
          </cell>
          <cell r="K107">
            <v>-398880</v>
          </cell>
          <cell r="L107">
            <v>-405120</v>
          </cell>
          <cell r="M107">
            <v>-401280</v>
          </cell>
          <cell r="N107">
            <v>-386400</v>
          </cell>
          <cell r="O107">
            <v>-359520</v>
          </cell>
          <cell r="P107">
            <v>-320640</v>
          </cell>
          <cell r="Q107">
            <v>-268800</v>
          </cell>
          <cell r="R107">
            <v>-203040</v>
          </cell>
          <cell r="S107">
            <v>-123360</v>
          </cell>
          <cell r="T107">
            <v>-28800</v>
          </cell>
          <cell r="U107">
            <v>81600</v>
          </cell>
          <cell r="V107">
            <v>207840</v>
          </cell>
          <cell r="W107">
            <v>350880</v>
          </cell>
          <cell r="X107">
            <v>510720</v>
          </cell>
          <cell r="Y107">
            <v>688320</v>
          </cell>
          <cell r="Z107">
            <v>883680</v>
          </cell>
          <cell r="AA107">
            <v>1097760</v>
          </cell>
          <cell r="AB107">
            <v>1330560</v>
          </cell>
          <cell r="AC107">
            <v>1582080</v>
          </cell>
          <cell r="AD107">
            <v>1853280</v>
          </cell>
          <cell r="AE107">
            <v>2144160</v>
          </cell>
          <cell r="AF107">
            <v>2455680</v>
          </cell>
          <cell r="AG107">
            <v>2787840</v>
          </cell>
          <cell r="AH107">
            <v>3140640</v>
          </cell>
          <cell r="AI107">
            <v>3514080</v>
          </cell>
          <cell r="AJ107">
            <v>3909120</v>
          </cell>
          <cell r="AK107">
            <v>4325760</v>
          </cell>
          <cell r="AL107">
            <v>4764000</v>
          </cell>
          <cell r="AM107">
            <v>5224800</v>
          </cell>
          <cell r="AN107">
            <v>5708160</v>
          </cell>
          <cell r="AO107">
            <v>6214080</v>
          </cell>
          <cell r="AP107">
            <v>6742560</v>
          </cell>
          <cell r="AQ107">
            <v>7293600</v>
          </cell>
          <cell r="AR107">
            <v>7868160</v>
          </cell>
          <cell r="AS107">
            <v>8466240</v>
          </cell>
          <cell r="AT107">
            <v>9087840</v>
          </cell>
          <cell r="AU107">
            <v>9732960</v>
          </cell>
          <cell r="AV107">
            <v>10401600</v>
          </cell>
          <cell r="AW107">
            <v>11093760</v>
          </cell>
          <cell r="AX107">
            <v>11809440</v>
          </cell>
          <cell r="AY107">
            <v>12549600</v>
          </cell>
          <cell r="AZ107">
            <v>13314240</v>
          </cell>
          <cell r="BA107">
            <v>14103360</v>
          </cell>
          <cell r="BB107">
            <v>14916960</v>
          </cell>
          <cell r="BC107">
            <v>15755040</v>
          </cell>
          <cell r="BD107">
            <v>16617600</v>
          </cell>
          <cell r="BE107">
            <v>17504640</v>
          </cell>
          <cell r="BF107">
            <v>18416160</v>
          </cell>
          <cell r="BG107">
            <v>19352160</v>
          </cell>
          <cell r="BH107">
            <v>20312640</v>
          </cell>
          <cell r="BI107">
            <v>21298560</v>
          </cell>
        </row>
        <row r="108">
          <cell r="A108" t="str">
            <v>Months to recover CAC: 12.5</v>
          </cell>
          <cell r="B108">
            <v>-55200</v>
          </cell>
          <cell r="C108">
            <v>-116640</v>
          </cell>
          <cell r="D108">
            <v>-183840</v>
          </cell>
          <cell r="E108">
            <v>-255840</v>
          </cell>
          <cell r="F108">
            <v>-331680</v>
          </cell>
          <cell r="G108">
            <v>-410880</v>
          </cell>
          <cell r="H108">
            <v>-492480</v>
          </cell>
          <cell r="I108">
            <v>-576000</v>
          </cell>
          <cell r="J108">
            <v>-660480</v>
          </cell>
          <cell r="K108">
            <v>-745440</v>
          </cell>
          <cell r="L108">
            <v>-829920</v>
          </cell>
          <cell r="M108">
            <v>-913440</v>
          </cell>
          <cell r="N108">
            <v>-995520</v>
          </cell>
          <cell r="O108">
            <v>-1075200</v>
          </cell>
          <cell r="P108">
            <v>-1152000</v>
          </cell>
          <cell r="Q108">
            <v>-1225440</v>
          </cell>
          <cell r="R108">
            <v>-1295040</v>
          </cell>
          <cell r="S108">
            <v>-1360320</v>
          </cell>
          <cell r="T108">
            <v>-1420320</v>
          </cell>
          <cell r="U108">
            <v>-1474560</v>
          </cell>
          <cell r="V108">
            <v>-1522560</v>
          </cell>
          <cell r="W108">
            <v>-1563840</v>
          </cell>
          <cell r="X108">
            <v>-1597920</v>
          </cell>
          <cell r="Y108">
            <v>-1624320</v>
          </cell>
          <cell r="Z108">
            <v>-1642560</v>
          </cell>
          <cell r="AA108">
            <v>-1652160</v>
          </cell>
          <cell r="AB108">
            <v>-1652640</v>
          </cell>
          <cell r="AC108">
            <v>-1643520</v>
          </cell>
          <cell r="AD108">
            <v>-1624320</v>
          </cell>
          <cell r="AE108">
            <v>-1595040</v>
          </cell>
          <cell r="AF108">
            <v>-1555200</v>
          </cell>
          <cell r="AG108">
            <v>-1504320</v>
          </cell>
          <cell r="AH108">
            <v>-1441920</v>
          </cell>
          <cell r="AI108">
            <v>-1367520</v>
          </cell>
          <cell r="AJ108">
            <v>-1281120</v>
          </cell>
          <cell r="AK108">
            <v>-1182240</v>
          </cell>
          <cell r="AL108">
            <v>-1070400</v>
          </cell>
          <cell r="AM108">
            <v>-945120</v>
          </cell>
          <cell r="AN108">
            <v>-806400</v>
          </cell>
          <cell r="AO108">
            <v>-653760</v>
          </cell>
          <cell r="AP108">
            <v>-486720</v>
          </cell>
          <cell r="AQ108">
            <v>-305280</v>
          </cell>
          <cell r="AR108">
            <v>-108960</v>
          </cell>
          <cell r="AS108">
            <v>102240</v>
          </cell>
          <cell r="AT108">
            <v>328800</v>
          </cell>
          <cell r="AU108">
            <v>571200</v>
          </cell>
          <cell r="AV108">
            <v>829440</v>
          </cell>
          <cell r="AW108">
            <v>1104000</v>
          </cell>
          <cell r="AX108">
            <v>1394880</v>
          </cell>
          <cell r="AY108">
            <v>1702560</v>
          </cell>
          <cell r="AZ108">
            <v>2027040</v>
          </cell>
          <cell r="BA108">
            <v>2368800</v>
          </cell>
          <cell r="BB108">
            <v>2727840</v>
          </cell>
          <cell r="BC108">
            <v>3104640</v>
          </cell>
          <cell r="BD108">
            <v>3499200</v>
          </cell>
          <cell r="BE108">
            <v>3912000</v>
          </cell>
          <cell r="BF108">
            <v>4343040</v>
          </cell>
          <cell r="BG108">
            <v>4792320</v>
          </cell>
          <cell r="BH108">
            <v>5260320</v>
          </cell>
          <cell r="BI108">
            <v>5747040</v>
          </cell>
        </row>
        <row r="109">
          <cell r="A109" t="str">
            <v>Months to recover CAC: 18.8</v>
          </cell>
          <cell r="B109">
            <v>-56800</v>
          </cell>
          <cell r="C109">
            <v>-121760</v>
          </cell>
          <cell r="D109">
            <v>-194240</v>
          </cell>
          <cell r="E109">
            <v>-273920</v>
          </cell>
          <cell r="F109">
            <v>-360160</v>
          </cell>
          <cell r="G109">
            <v>-452320</v>
          </cell>
          <cell r="H109">
            <v>-549760</v>
          </cell>
          <cell r="I109">
            <v>-652160</v>
          </cell>
          <cell r="J109">
            <v>-758880</v>
          </cell>
          <cell r="K109">
            <v>-869600</v>
          </cell>
          <cell r="L109">
            <v>-983680</v>
          </cell>
          <cell r="M109">
            <v>-1100480</v>
          </cell>
          <cell r="N109">
            <v>-1219680</v>
          </cell>
          <cell r="O109">
            <v>-1340640</v>
          </cell>
          <cell r="P109">
            <v>-1463040</v>
          </cell>
          <cell r="Q109">
            <v>-1586560</v>
          </cell>
          <cell r="R109">
            <v>-1710560</v>
          </cell>
          <cell r="S109">
            <v>-1834720</v>
          </cell>
          <cell r="T109">
            <v>-1958400</v>
          </cell>
          <cell r="U109">
            <v>-2081280</v>
          </cell>
          <cell r="V109">
            <v>-2203040</v>
          </cell>
          <cell r="W109">
            <v>-2323040</v>
          </cell>
          <cell r="X109">
            <v>-2440960</v>
          </cell>
          <cell r="Y109">
            <v>-2556480</v>
          </cell>
          <cell r="Z109">
            <v>-2669280</v>
          </cell>
          <cell r="AA109">
            <v>-2778720</v>
          </cell>
          <cell r="AB109">
            <v>-2884480</v>
          </cell>
          <cell r="AC109">
            <v>-2986240</v>
          </cell>
          <cell r="AD109">
            <v>-3083680</v>
          </cell>
          <cell r="AE109">
            <v>-3176480</v>
          </cell>
          <cell r="AF109">
            <v>-3264000</v>
          </cell>
          <cell r="AG109">
            <v>-3345920</v>
          </cell>
          <cell r="AH109">
            <v>-3421920</v>
          </cell>
          <cell r="AI109">
            <v>-3491680</v>
          </cell>
          <cell r="AJ109">
            <v>-3554880</v>
          </cell>
          <cell r="AK109">
            <v>-3611200</v>
          </cell>
          <cell r="AL109">
            <v>-3660320</v>
          </cell>
          <cell r="AM109">
            <v>-3701920</v>
          </cell>
          <cell r="AN109">
            <v>-3735680</v>
          </cell>
          <cell r="AO109">
            <v>-3761280</v>
          </cell>
          <cell r="AP109">
            <v>-3778400</v>
          </cell>
          <cell r="AQ109">
            <v>-3786720</v>
          </cell>
          <cell r="AR109">
            <v>-3785920</v>
          </cell>
          <cell r="AS109">
            <v>-3775680</v>
          </cell>
          <cell r="AT109">
            <v>-3756000</v>
          </cell>
          <cell r="AU109">
            <v>-3726560</v>
          </cell>
          <cell r="AV109">
            <v>-3687040</v>
          </cell>
          <cell r="AW109">
            <v>-3637120</v>
          </cell>
          <cell r="AX109">
            <v>-3576480</v>
          </cell>
          <cell r="AY109">
            <v>-3504800</v>
          </cell>
          <cell r="AZ109">
            <v>-3422080</v>
          </cell>
          <cell r="BA109">
            <v>-3328000</v>
          </cell>
          <cell r="BB109">
            <v>-3222240</v>
          </cell>
          <cell r="BC109">
            <v>-3104480</v>
          </cell>
          <cell r="BD109">
            <v>-2974400</v>
          </cell>
          <cell r="BE109">
            <v>-2832000</v>
          </cell>
          <cell r="BF109">
            <v>-2676960</v>
          </cell>
          <cell r="BG109">
            <v>-2508960</v>
          </cell>
          <cell r="BH109">
            <v>-2328000</v>
          </cell>
          <cell r="BI109">
            <v>-2133760</v>
          </cell>
        </row>
        <row r="145">
          <cell r="B145" t="str">
            <v>Month 1</v>
          </cell>
          <cell r="C145" t="str">
            <v>Month 2</v>
          </cell>
          <cell r="D145" t="str">
            <v>Month 3</v>
          </cell>
          <cell r="E145" t="str">
            <v>Month 4</v>
          </cell>
          <cell r="F145" t="str">
            <v>Month 5</v>
          </cell>
          <cell r="G145" t="str">
            <v>Month 6</v>
          </cell>
          <cell r="H145" t="str">
            <v>Month 7</v>
          </cell>
          <cell r="I145" t="str">
            <v>Month 8</v>
          </cell>
          <cell r="J145" t="str">
            <v>Month 9</v>
          </cell>
          <cell r="K145" t="str">
            <v>Month 10</v>
          </cell>
          <cell r="L145" t="str">
            <v>Month 11</v>
          </cell>
          <cell r="M145" t="str">
            <v>Month 12</v>
          </cell>
          <cell r="N145" t="str">
            <v>Month 13</v>
          </cell>
          <cell r="O145" t="str">
            <v>Month 14</v>
          </cell>
          <cell r="P145" t="str">
            <v>Month 15</v>
          </cell>
          <cell r="Q145" t="str">
            <v>Month 16</v>
          </cell>
          <cell r="R145" t="str">
            <v>Month 17</v>
          </cell>
          <cell r="S145" t="str">
            <v>Month 18</v>
          </cell>
          <cell r="T145" t="str">
            <v>Month 19</v>
          </cell>
          <cell r="U145" t="str">
            <v>Month 20</v>
          </cell>
          <cell r="V145" t="str">
            <v>Month 21</v>
          </cell>
          <cell r="W145" t="str">
            <v>Month 22</v>
          </cell>
          <cell r="X145" t="str">
            <v>Month 23</v>
          </cell>
          <cell r="Y145" t="str">
            <v>Month 24</v>
          </cell>
          <cell r="Z145" t="str">
            <v>Month 25</v>
          </cell>
          <cell r="AA145" t="str">
            <v>Month 26</v>
          </cell>
          <cell r="AB145" t="str">
            <v>Month 27</v>
          </cell>
          <cell r="AC145" t="str">
            <v>Month 28</v>
          </cell>
          <cell r="AD145" t="str">
            <v>Month 29</v>
          </cell>
          <cell r="AE145" t="str">
            <v>Month 30</v>
          </cell>
          <cell r="AF145" t="str">
            <v>Month 31</v>
          </cell>
          <cell r="AG145" t="str">
            <v>Month 32</v>
          </cell>
          <cell r="AH145" t="str">
            <v>Month 33</v>
          </cell>
          <cell r="AI145" t="str">
            <v>Month 34</v>
          </cell>
          <cell r="AJ145" t="str">
            <v>Month 35</v>
          </cell>
          <cell r="AK145" t="str">
            <v>Month 36</v>
          </cell>
          <cell r="AL145" t="str">
            <v>Month 37</v>
          </cell>
          <cell r="AM145" t="str">
            <v>Month 38</v>
          </cell>
          <cell r="AN145" t="str">
            <v>Month 39</v>
          </cell>
          <cell r="AO145" t="str">
            <v>Month 40</v>
          </cell>
        </row>
        <row r="146">
          <cell r="A146" t="str">
            <v>Cohort 1</v>
          </cell>
          <cell r="B146">
            <v>6000</v>
          </cell>
          <cell r="C146">
            <v>5850</v>
          </cell>
          <cell r="D146">
            <v>5703.75</v>
          </cell>
          <cell r="E146">
            <v>5561.15625</v>
          </cell>
          <cell r="F146">
            <v>5422.1273437499995</v>
          </cell>
          <cell r="G146">
            <v>5286.5741601562495</v>
          </cell>
          <cell r="H146">
            <v>5154.4098061523428</v>
          </cell>
          <cell r="I146">
            <v>5025.5495609985337</v>
          </cell>
          <cell r="J146">
            <v>4899.9108219735699</v>
          </cell>
          <cell r="K146">
            <v>4777.4130514242306</v>
          </cell>
          <cell r="L146">
            <v>4657.9777251386249</v>
          </cell>
          <cell r="M146">
            <v>4541.5282820101593</v>
          </cell>
          <cell r="N146">
            <v>4427.9900749599055</v>
          </cell>
          <cell r="O146">
            <v>4317.2903230859074</v>
          </cell>
          <cell r="P146">
            <v>4209.3580650087597</v>
          </cell>
          <cell r="Q146">
            <v>4104.124113383541</v>
          </cell>
          <cell r="R146">
            <v>4001.5210105489523</v>
          </cell>
          <cell r="S146">
            <v>3901.4829852852286</v>
          </cell>
          <cell r="T146">
            <v>3803.9459106530976</v>
          </cell>
          <cell r="U146">
            <v>3708.8472628867703</v>
          </cell>
          <cell r="V146">
            <v>3616.1260813146009</v>
          </cell>
          <cell r="W146">
            <v>3525.722929281736</v>
          </cell>
          <cell r="X146">
            <v>3437.5798560496924</v>
          </cell>
          <cell r="Y146">
            <v>3351.6403596484502</v>
          </cell>
          <cell r="Z146">
            <v>3267.849350657239</v>
          </cell>
          <cell r="AA146">
            <v>3186.1531168908082</v>
          </cell>
          <cell r="AB146">
            <v>3106.4992889685377</v>
          </cell>
          <cell r="AC146">
            <v>3028.8368067443243</v>
          </cell>
          <cell r="AD146">
            <v>2953.1158865757161</v>
          </cell>
          <cell r="AE146">
            <v>2879.287989411323</v>
          </cell>
          <cell r="AF146">
            <v>2807.3057896760397</v>
          </cell>
          <cell r="AG146">
            <v>2737.1231449341385</v>
          </cell>
          <cell r="AH146">
            <v>2668.695066310785</v>
          </cell>
          <cell r="AI146">
            <v>2601.9776896530152</v>
          </cell>
          <cell r="AJ146">
            <v>2536.9282474116899</v>
          </cell>
          <cell r="AK146">
            <v>2473.5050412263977</v>
          </cell>
          <cell r="AL146">
            <v>2411.6674151957377</v>
          </cell>
          <cell r="AM146">
            <v>2351.3757298158444</v>
          </cell>
          <cell r="AN146">
            <v>2292.5913365704482</v>
          </cell>
          <cell r="AO146">
            <v>2235.2765531561868</v>
          </cell>
        </row>
        <row r="147">
          <cell r="A147" t="str">
            <v>Cohort 2</v>
          </cell>
          <cell r="C147">
            <v>6000</v>
          </cell>
          <cell r="D147">
            <v>5850</v>
          </cell>
          <cell r="E147">
            <v>5703.75</v>
          </cell>
          <cell r="F147">
            <v>5561.15625</v>
          </cell>
          <cell r="G147">
            <v>5422.1273437499995</v>
          </cell>
          <cell r="H147">
            <v>5286.5741601562495</v>
          </cell>
          <cell r="I147">
            <v>5154.4098061523428</v>
          </cell>
          <cell r="J147">
            <v>5025.5495609985337</v>
          </cell>
          <cell r="K147">
            <v>4899.9108219735699</v>
          </cell>
          <cell r="L147">
            <v>4777.4130514242306</v>
          </cell>
          <cell r="M147">
            <v>4657.9777251386249</v>
          </cell>
          <cell r="N147">
            <v>4541.5282820101593</v>
          </cell>
          <cell r="O147">
            <v>4427.9900749599055</v>
          </cell>
          <cell r="P147">
            <v>4317.2903230859074</v>
          </cell>
          <cell r="Q147">
            <v>4209.3580650087597</v>
          </cell>
          <cell r="R147">
            <v>4104.124113383541</v>
          </cell>
          <cell r="S147">
            <v>4001.5210105489523</v>
          </cell>
          <cell r="T147">
            <v>3901.4829852852286</v>
          </cell>
          <cell r="U147">
            <v>3803.9459106530976</v>
          </cell>
          <cell r="V147">
            <v>3708.8472628867703</v>
          </cell>
          <cell r="W147">
            <v>3616.1260813146009</v>
          </cell>
          <cell r="X147">
            <v>3525.722929281736</v>
          </cell>
          <cell r="Y147">
            <v>3437.5798560496924</v>
          </cell>
          <cell r="Z147">
            <v>3351.6403596484502</v>
          </cell>
          <cell r="AA147">
            <v>3267.849350657239</v>
          </cell>
          <cell r="AB147">
            <v>3186.1531168908082</v>
          </cell>
          <cell r="AC147">
            <v>3106.4992889685377</v>
          </cell>
          <cell r="AD147">
            <v>3028.8368067443243</v>
          </cell>
          <cell r="AE147">
            <v>2953.1158865757161</v>
          </cell>
          <cell r="AF147">
            <v>2879.287989411323</v>
          </cell>
          <cell r="AG147">
            <v>2807.3057896760397</v>
          </cell>
          <cell r="AH147">
            <v>2737.1231449341385</v>
          </cell>
          <cell r="AI147">
            <v>2668.695066310785</v>
          </cell>
          <cell r="AJ147">
            <v>2601.9776896530152</v>
          </cell>
          <cell r="AK147">
            <v>2536.9282474116899</v>
          </cell>
          <cell r="AL147">
            <v>2473.5050412263977</v>
          </cell>
          <cell r="AM147">
            <v>2411.6674151957377</v>
          </cell>
          <cell r="AN147">
            <v>2351.3757298158444</v>
          </cell>
          <cell r="AO147">
            <v>2292.5913365704482</v>
          </cell>
        </row>
        <row r="148">
          <cell r="A148" t="str">
            <v>Cohort 3</v>
          </cell>
          <cell r="D148">
            <v>6000</v>
          </cell>
          <cell r="E148">
            <v>5850</v>
          </cell>
          <cell r="F148">
            <v>5703.75</v>
          </cell>
          <cell r="G148">
            <v>5561.15625</v>
          </cell>
          <cell r="H148">
            <v>5422.1273437499995</v>
          </cell>
          <cell r="I148">
            <v>5286.5741601562495</v>
          </cell>
          <cell r="J148">
            <v>5154.4098061523428</v>
          </cell>
          <cell r="K148">
            <v>5025.5495609985337</v>
          </cell>
          <cell r="L148">
            <v>4899.9108219735699</v>
          </cell>
          <cell r="M148">
            <v>4777.4130514242306</v>
          </cell>
          <cell r="N148">
            <v>4657.9777251386249</v>
          </cell>
          <cell r="O148">
            <v>4541.5282820101593</v>
          </cell>
          <cell r="P148">
            <v>4427.9900749599055</v>
          </cell>
          <cell r="Q148">
            <v>4317.2903230859074</v>
          </cell>
          <cell r="R148">
            <v>4209.3580650087597</v>
          </cell>
          <cell r="S148">
            <v>4104.124113383541</v>
          </cell>
          <cell r="T148">
            <v>4001.5210105489523</v>
          </cell>
          <cell r="U148">
            <v>3901.4829852852286</v>
          </cell>
          <cell r="V148">
            <v>3803.9459106530976</v>
          </cell>
          <cell r="W148">
            <v>3708.8472628867703</v>
          </cell>
          <cell r="X148">
            <v>3616.1260813146009</v>
          </cell>
          <cell r="Y148">
            <v>3525.722929281736</v>
          </cell>
          <cell r="Z148">
            <v>3437.5798560496924</v>
          </cell>
          <cell r="AA148">
            <v>3351.6403596484502</v>
          </cell>
          <cell r="AB148">
            <v>3267.849350657239</v>
          </cell>
          <cell r="AC148">
            <v>3186.1531168908082</v>
          </cell>
          <cell r="AD148">
            <v>3106.4992889685377</v>
          </cell>
          <cell r="AE148">
            <v>3028.8368067443243</v>
          </cell>
          <cell r="AF148">
            <v>2953.1158865757161</v>
          </cell>
          <cell r="AG148">
            <v>2879.287989411323</v>
          </cell>
          <cell r="AH148">
            <v>2807.3057896760397</v>
          </cell>
          <cell r="AI148">
            <v>2737.1231449341385</v>
          </cell>
          <cell r="AJ148">
            <v>2668.695066310785</v>
          </cell>
          <cell r="AK148">
            <v>2601.9776896530152</v>
          </cell>
          <cell r="AL148">
            <v>2536.9282474116899</v>
          </cell>
          <cell r="AM148">
            <v>2473.5050412263977</v>
          </cell>
          <cell r="AN148">
            <v>2411.6674151957377</v>
          </cell>
          <cell r="AO148">
            <v>2351.3757298158444</v>
          </cell>
        </row>
        <row r="149">
          <cell r="A149" t="str">
            <v>Cohort 4</v>
          </cell>
          <cell r="E149">
            <v>6000</v>
          </cell>
          <cell r="F149">
            <v>5850</v>
          </cell>
          <cell r="G149">
            <v>5703.75</v>
          </cell>
          <cell r="H149">
            <v>5561.15625</v>
          </cell>
          <cell r="I149">
            <v>5422.1273437499995</v>
          </cell>
          <cell r="J149">
            <v>5286.5741601562495</v>
          </cell>
          <cell r="K149">
            <v>5154.4098061523428</v>
          </cell>
          <cell r="L149">
            <v>5025.5495609985337</v>
          </cell>
          <cell r="M149">
            <v>4899.9108219735699</v>
          </cell>
          <cell r="N149">
            <v>4777.4130514242306</v>
          </cell>
          <cell r="O149">
            <v>4657.9777251386249</v>
          </cell>
          <cell r="P149">
            <v>4541.5282820101593</v>
          </cell>
          <cell r="Q149">
            <v>4427.9900749599055</v>
          </cell>
          <cell r="R149">
            <v>4317.2903230859074</v>
          </cell>
          <cell r="S149">
            <v>4209.3580650087597</v>
          </cell>
          <cell r="T149">
            <v>4104.124113383541</v>
          </cell>
          <cell r="U149">
            <v>4001.5210105489523</v>
          </cell>
          <cell r="V149">
            <v>3901.4829852852286</v>
          </cell>
          <cell r="W149">
            <v>3803.9459106530976</v>
          </cell>
          <cell r="X149">
            <v>3708.8472628867703</v>
          </cell>
          <cell r="Y149">
            <v>3616.1260813146009</v>
          </cell>
          <cell r="Z149">
            <v>3525.722929281736</v>
          </cell>
          <cell r="AA149">
            <v>3437.5798560496924</v>
          </cell>
          <cell r="AB149">
            <v>3351.6403596484502</v>
          </cell>
          <cell r="AC149">
            <v>3267.849350657239</v>
          </cell>
          <cell r="AD149">
            <v>3186.1531168908082</v>
          </cell>
          <cell r="AE149">
            <v>3106.4992889685377</v>
          </cell>
          <cell r="AF149">
            <v>3028.8368067443243</v>
          </cell>
          <cell r="AG149">
            <v>2953.1158865757161</v>
          </cell>
          <cell r="AH149">
            <v>2879.287989411323</v>
          </cell>
          <cell r="AI149">
            <v>2807.3057896760397</v>
          </cell>
          <cell r="AJ149">
            <v>2737.1231449341385</v>
          </cell>
          <cell r="AK149">
            <v>2668.695066310785</v>
          </cell>
          <cell r="AL149">
            <v>2601.9776896530152</v>
          </cell>
          <cell r="AM149">
            <v>2536.9282474116899</v>
          </cell>
          <cell r="AN149">
            <v>2473.5050412263977</v>
          </cell>
          <cell r="AO149">
            <v>2411.6674151957377</v>
          </cell>
        </row>
        <row r="150">
          <cell r="A150" t="str">
            <v>Cohort 5</v>
          </cell>
          <cell r="F150">
            <v>6000</v>
          </cell>
          <cell r="G150">
            <v>5850</v>
          </cell>
          <cell r="H150">
            <v>5703.75</v>
          </cell>
          <cell r="I150">
            <v>5561.15625</v>
          </cell>
          <cell r="J150">
            <v>5422.1273437499995</v>
          </cell>
          <cell r="K150">
            <v>5286.5741601562495</v>
          </cell>
          <cell r="L150">
            <v>5154.4098061523428</v>
          </cell>
          <cell r="M150">
            <v>5025.5495609985337</v>
          </cell>
          <cell r="N150">
            <v>4899.9108219735699</v>
          </cell>
          <cell r="O150">
            <v>4777.4130514242306</v>
          </cell>
          <cell r="P150">
            <v>4657.9777251386249</v>
          </cell>
          <cell r="Q150">
            <v>4541.5282820101593</v>
          </cell>
          <cell r="R150">
            <v>4427.9900749599055</v>
          </cell>
          <cell r="S150">
            <v>4317.2903230859074</v>
          </cell>
          <cell r="T150">
            <v>4209.3580650087597</v>
          </cell>
          <cell r="U150">
            <v>4104.124113383541</v>
          </cell>
          <cell r="V150">
            <v>4001.5210105489523</v>
          </cell>
          <cell r="W150">
            <v>3901.4829852852286</v>
          </cell>
          <cell r="X150">
            <v>3803.9459106530976</v>
          </cell>
          <cell r="Y150">
            <v>3708.8472628867703</v>
          </cell>
          <cell r="Z150">
            <v>3616.1260813146009</v>
          </cell>
          <cell r="AA150">
            <v>3525.722929281736</v>
          </cell>
          <cell r="AB150">
            <v>3437.5798560496924</v>
          </cell>
          <cell r="AC150">
            <v>3351.6403596484502</v>
          </cell>
          <cell r="AD150">
            <v>3267.849350657239</v>
          </cell>
          <cell r="AE150">
            <v>3186.1531168908082</v>
          </cell>
          <cell r="AF150">
            <v>3106.4992889685377</v>
          </cell>
          <cell r="AG150">
            <v>3028.8368067443243</v>
          </cell>
          <cell r="AH150">
            <v>2953.1158865757161</v>
          </cell>
          <cell r="AI150">
            <v>2879.287989411323</v>
          </cell>
          <cell r="AJ150">
            <v>2807.3057896760397</v>
          </cell>
          <cell r="AK150">
            <v>2737.1231449341385</v>
          </cell>
          <cell r="AL150">
            <v>2668.695066310785</v>
          </cell>
          <cell r="AM150">
            <v>2601.9776896530152</v>
          </cell>
          <cell r="AN150">
            <v>2536.9282474116899</v>
          </cell>
          <cell r="AO150">
            <v>2473.5050412263977</v>
          </cell>
        </row>
        <row r="151">
          <cell r="A151" t="str">
            <v>Cohort 6</v>
          </cell>
          <cell r="G151">
            <v>6000</v>
          </cell>
          <cell r="H151">
            <v>5850</v>
          </cell>
          <cell r="I151">
            <v>5703.75</v>
          </cell>
          <cell r="J151">
            <v>5561.15625</v>
          </cell>
          <cell r="K151">
            <v>5422.1273437499995</v>
          </cell>
          <cell r="L151">
            <v>5286.5741601562495</v>
          </cell>
          <cell r="M151">
            <v>5154.4098061523428</v>
          </cell>
          <cell r="N151">
            <v>5025.5495609985337</v>
          </cell>
          <cell r="O151">
            <v>4899.9108219735699</v>
          </cell>
          <cell r="P151">
            <v>4777.4130514242306</v>
          </cell>
          <cell r="Q151">
            <v>4657.9777251386249</v>
          </cell>
          <cell r="R151">
            <v>4541.5282820101593</v>
          </cell>
          <cell r="S151">
            <v>4427.9900749599055</v>
          </cell>
          <cell r="T151">
            <v>4317.2903230859074</v>
          </cell>
          <cell r="U151">
            <v>4209.3580650087597</v>
          </cell>
          <cell r="V151">
            <v>4104.124113383541</v>
          </cell>
          <cell r="W151">
            <v>4001.5210105489523</v>
          </cell>
          <cell r="X151">
            <v>3901.4829852852286</v>
          </cell>
          <cell r="Y151">
            <v>3803.9459106530976</v>
          </cell>
          <cell r="Z151">
            <v>3708.8472628867703</v>
          </cell>
          <cell r="AA151">
            <v>3616.1260813146009</v>
          </cell>
          <cell r="AB151">
            <v>3525.722929281736</v>
          </cell>
          <cell r="AC151">
            <v>3437.5798560496924</v>
          </cell>
          <cell r="AD151">
            <v>3351.6403596484502</v>
          </cell>
          <cell r="AE151">
            <v>3267.849350657239</v>
          </cell>
          <cell r="AF151">
            <v>3186.1531168908082</v>
          </cell>
          <cell r="AG151">
            <v>3106.4992889685377</v>
          </cell>
          <cell r="AH151">
            <v>3028.8368067443243</v>
          </cell>
          <cell r="AI151">
            <v>2953.1158865757161</v>
          </cell>
          <cell r="AJ151">
            <v>2879.287989411323</v>
          </cell>
          <cell r="AK151">
            <v>2807.3057896760397</v>
          </cell>
          <cell r="AL151">
            <v>2737.1231449341385</v>
          </cell>
          <cell r="AM151">
            <v>2668.695066310785</v>
          </cell>
          <cell r="AN151">
            <v>2601.9776896530152</v>
          </cell>
          <cell r="AO151">
            <v>2536.9282474116899</v>
          </cell>
        </row>
        <row r="152">
          <cell r="A152" t="str">
            <v>Cohort 7</v>
          </cell>
          <cell r="H152">
            <v>6000</v>
          </cell>
          <cell r="I152">
            <v>5850</v>
          </cell>
          <cell r="J152">
            <v>5703.75</v>
          </cell>
          <cell r="K152">
            <v>5561.15625</v>
          </cell>
          <cell r="L152">
            <v>5422.1273437499995</v>
          </cell>
          <cell r="M152">
            <v>5286.5741601562495</v>
          </cell>
          <cell r="N152">
            <v>5154.4098061523428</v>
          </cell>
          <cell r="O152">
            <v>5025.5495609985337</v>
          </cell>
          <cell r="P152">
            <v>4899.9108219735699</v>
          </cell>
          <cell r="Q152">
            <v>4777.4130514242306</v>
          </cell>
          <cell r="R152">
            <v>4657.9777251386249</v>
          </cell>
          <cell r="S152">
            <v>4541.5282820101593</v>
          </cell>
          <cell r="T152">
            <v>4427.9900749599055</v>
          </cell>
          <cell r="U152">
            <v>4317.2903230859074</v>
          </cell>
          <cell r="V152">
            <v>4209.3580650087597</v>
          </cell>
          <cell r="W152">
            <v>4104.124113383541</v>
          </cell>
          <cell r="X152">
            <v>4001.5210105489523</v>
          </cell>
          <cell r="Y152">
            <v>3901.4829852852286</v>
          </cell>
          <cell r="Z152">
            <v>3803.9459106530976</v>
          </cell>
          <cell r="AA152">
            <v>3708.8472628867703</v>
          </cell>
          <cell r="AB152">
            <v>3616.1260813146009</v>
          </cell>
          <cell r="AC152">
            <v>3525.722929281736</v>
          </cell>
          <cell r="AD152">
            <v>3437.5798560496924</v>
          </cell>
          <cell r="AE152">
            <v>3351.6403596484502</v>
          </cell>
          <cell r="AF152">
            <v>3267.849350657239</v>
          </cell>
          <cell r="AG152">
            <v>3186.1531168908082</v>
          </cell>
          <cell r="AH152">
            <v>3106.4992889685377</v>
          </cell>
          <cell r="AI152">
            <v>3028.8368067443243</v>
          </cell>
          <cell r="AJ152">
            <v>2953.1158865757161</v>
          </cell>
          <cell r="AK152">
            <v>2879.287989411323</v>
          </cell>
          <cell r="AL152">
            <v>2807.3057896760397</v>
          </cell>
          <cell r="AM152">
            <v>2737.1231449341385</v>
          </cell>
          <cell r="AN152">
            <v>2668.695066310785</v>
          </cell>
          <cell r="AO152">
            <v>2601.9776896530152</v>
          </cell>
        </row>
        <row r="153">
          <cell r="A153" t="str">
            <v>Cohort 8</v>
          </cell>
          <cell r="I153">
            <v>6000</v>
          </cell>
          <cell r="J153">
            <v>5850</v>
          </cell>
          <cell r="K153">
            <v>5703.75</v>
          </cell>
          <cell r="L153">
            <v>5561.15625</v>
          </cell>
          <cell r="M153">
            <v>5422.1273437499995</v>
          </cell>
          <cell r="N153">
            <v>5286.5741601562495</v>
          </cell>
          <cell r="O153">
            <v>5154.4098061523428</v>
          </cell>
          <cell r="P153">
            <v>5025.5495609985337</v>
          </cell>
          <cell r="Q153">
            <v>4899.9108219735699</v>
          </cell>
          <cell r="R153">
            <v>4777.4130514242306</v>
          </cell>
          <cell r="S153">
            <v>4657.9777251386249</v>
          </cell>
          <cell r="T153">
            <v>4541.5282820101593</v>
          </cell>
          <cell r="U153">
            <v>4427.9900749599055</v>
          </cell>
          <cell r="V153">
            <v>4317.2903230859074</v>
          </cell>
          <cell r="W153">
            <v>4209.3580650087597</v>
          </cell>
          <cell r="X153">
            <v>4104.124113383541</v>
          </cell>
          <cell r="Y153">
            <v>4001.5210105489523</v>
          </cell>
          <cell r="Z153">
            <v>3901.4829852852286</v>
          </cell>
          <cell r="AA153">
            <v>3803.9459106530976</v>
          </cell>
          <cell r="AB153">
            <v>3708.8472628867703</v>
          </cell>
          <cell r="AC153">
            <v>3616.1260813146009</v>
          </cell>
          <cell r="AD153">
            <v>3525.722929281736</v>
          </cell>
          <cell r="AE153">
            <v>3437.5798560496924</v>
          </cell>
          <cell r="AF153">
            <v>3351.6403596484502</v>
          </cell>
          <cell r="AG153">
            <v>3267.849350657239</v>
          </cell>
          <cell r="AH153">
            <v>3186.1531168908082</v>
          </cell>
          <cell r="AI153">
            <v>3106.4992889685377</v>
          </cell>
          <cell r="AJ153">
            <v>3028.8368067443243</v>
          </cell>
          <cell r="AK153">
            <v>2953.1158865757161</v>
          </cell>
          <cell r="AL153">
            <v>2879.287989411323</v>
          </cell>
          <cell r="AM153">
            <v>2807.3057896760397</v>
          </cell>
          <cell r="AN153">
            <v>2737.1231449341385</v>
          </cell>
          <cell r="AO153">
            <v>2668.695066310785</v>
          </cell>
        </row>
        <row r="154">
          <cell r="A154" t="str">
            <v>Cohort 9</v>
          </cell>
          <cell r="J154">
            <v>6000</v>
          </cell>
          <cell r="K154">
            <v>5850</v>
          </cell>
          <cell r="L154">
            <v>5703.75</v>
          </cell>
          <cell r="M154">
            <v>5561.15625</v>
          </cell>
          <cell r="N154">
            <v>5422.1273437499995</v>
          </cell>
          <cell r="O154">
            <v>5286.5741601562495</v>
          </cell>
          <cell r="P154">
            <v>5154.4098061523428</v>
          </cell>
          <cell r="Q154">
            <v>5025.5495609985337</v>
          </cell>
          <cell r="R154">
            <v>4899.9108219735699</v>
          </cell>
          <cell r="S154">
            <v>4777.4130514242306</v>
          </cell>
          <cell r="T154">
            <v>4657.9777251386249</v>
          </cell>
          <cell r="U154">
            <v>4541.5282820101593</v>
          </cell>
          <cell r="V154">
            <v>4427.9900749599055</v>
          </cell>
          <cell r="W154">
            <v>4317.2903230859074</v>
          </cell>
          <cell r="X154">
            <v>4209.3580650087597</v>
          </cell>
          <cell r="Y154">
            <v>4104.124113383541</v>
          </cell>
          <cell r="Z154">
            <v>4001.5210105489523</v>
          </cell>
          <cell r="AA154">
            <v>3901.4829852852286</v>
          </cell>
          <cell r="AB154">
            <v>3803.9459106530976</v>
          </cell>
          <cell r="AC154">
            <v>3708.8472628867703</v>
          </cell>
          <cell r="AD154">
            <v>3616.1260813146009</v>
          </cell>
          <cell r="AE154">
            <v>3525.722929281736</v>
          </cell>
          <cell r="AF154">
            <v>3437.5798560496924</v>
          </cell>
          <cell r="AG154">
            <v>3351.6403596484502</v>
          </cell>
          <cell r="AH154">
            <v>3267.849350657239</v>
          </cell>
          <cell r="AI154">
            <v>3186.1531168908082</v>
          </cell>
          <cell r="AJ154">
            <v>3106.4992889685377</v>
          </cell>
          <cell r="AK154">
            <v>3028.8368067443243</v>
          </cell>
          <cell r="AL154">
            <v>2953.1158865757161</v>
          </cell>
          <cell r="AM154">
            <v>2879.287989411323</v>
          </cell>
          <cell r="AN154">
            <v>2807.3057896760397</v>
          </cell>
          <cell r="AO154">
            <v>2737.1231449341385</v>
          </cell>
        </row>
        <row r="155">
          <cell r="A155" t="str">
            <v>Cohort 10</v>
          </cell>
          <cell r="K155">
            <v>6000</v>
          </cell>
          <cell r="L155">
            <v>5850</v>
          </cell>
          <cell r="M155">
            <v>5703.75</v>
          </cell>
          <cell r="N155">
            <v>5561.15625</v>
          </cell>
          <cell r="O155">
            <v>5422.1273437499995</v>
          </cell>
          <cell r="P155">
            <v>5286.5741601562495</v>
          </cell>
          <cell r="Q155">
            <v>5154.4098061523428</v>
          </cell>
          <cell r="R155">
            <v>5025.5495609985337</v>
          </cell>
          <cell r="S155">
            <v>4899.9108219735699</v>
          </cell>
          <cell r="T155">
            <v>4777.4130514242306</v>
          </cell>
          <cell r="U155">
            <v>4657.9777251386249</v>
          </cell>
          <cell r="V155">
            <v>4541.5282820101593</v>
          </cell>
          <cell r="W155">
            <v>4427.9900749599055</v>
          </cell>
          <cell r="X155">
            <v>4317.2903230859074</v>
          </cell>
          <cell r="Y155">
            <v>4209.3580650087597</v>
          </cell>
          <cell r="Z155">
            <v>4104.124113383541</v>
          </cell>
          <cell r="AA155">
            <v>4001.5210105489523</v>
          </cell>
          <cell r="AB155">
            <v>3901.4829852852286</v>
          </cell>
          <cell r="AC155">
            <v>3803.9459106530976</v>
          </cell>
          <cell r="AD155">
            <v>3708.8472628867703</v>
          </cell>
          <cell r="AE155">
            <v>3616.1260813146009</v>
          </cell>
          <cell r="AF155">
            <v>3525.722929281736</v>
          </cell>
          <cell r="AG155">
            <v>3437.5798560496924</v>
          </cell>
          <cell r="AH155">
            <v>3351.6403596484502</v>
          </cell>
          <cell r="AI155">
            <v>3267.849350657239</v>
          </cell>
          <cell r="AJ155">
            <v>3186.1531168908082</v>
          </cell>
          <cell r="AK155">
            <v>3106.4992889685377</v>
          </cell>
          <cell r="AL155">
            <v>3028.8368067443243</v>
          </cell>
          <cell r="AM155">
            <v>2953.1158865757161</v>
          </cell>
          <cell r="AN155">
            <v>2879.287989411323</v>
          </cell>
          <cell r="AO155">
            <v>2807.3057896760397</v>
          </cell>
        </row>
        <row r="156">
          <cell r="A156" t="str">
            <v>Cohort 11</v>
          </cell>
          <cell r="L156">
            <v>6000</v>
          </cell>
          <cell r="M156">
            <v>5850</v>
          </cell>
          <cell r="N156">
            <v>5703.75</v>
          </cell>
          <cell r="O156">
            <v>5561.15625</v>
          </cell>
          <cell r="P156">
            <v>5422.1273437499995</v>
          </cell>
          <cell r="Q156">
            <v>5286.5741601562495</v>
          </cell>
          <cell r="R156">
            <v>5154.4098061523428</v>
          </cell>
          <cell r="S156">
            <v>5025.5495609985337</v>
          </cell>
          <cell r="T156">
            <v>4899.9108219735699</v>
          </cell>
          <cell r="U156">
            <v>4777.4130514242306</v>
          </cell>
          <cell r="V156">
            <v>4657.9777251386249</v>
          </cell>
          <cell r="W156">
            <v>4541.5282820101593</v>
          </cell>
          <cell r="X156">
            <v>4427.9900749599055</v>
          </cell>
          <cell r="Y156">
            <v>4317.2903230859074</v>
          </cell>
          <cell r="Z156">
            <v>4209.3580650087597</v>
          </cell>
          <cell r="AA156">
            <v>4104.124113383541</v>
          </cell>
          <cell r="AB156">
            <v>4001.5210105489523</v>
          </cell>
          <cell r="AC156">
            <v>3901.4829852852286</v>
          </cell>
          <cell r="AD156">
            <v>3803.9459106530976</v>
          </cell>
          <cell r="AE156">
            <v>3708.8472628867703</v>
          </cell>
          <cell r="AF156">
            <v>3616.1260813146009</v>
          </cell>
          <cell r="AG156">
            <v>3525.722929281736</v>
          </cell>
          <cell r="AH156">
            <v>3437.5798560496924</v>
          </cell>
          <cell r="AI156">
            <v>3351.6403596484502</v>
          </cell>
          <cell r="AJ156">
            <v>3267.849350657239</v>
          </cell>
          <cell r="AK156">
            <v>3186.1531168908082</v>
          </cell>
          <cell r="AL156">
            <v>3106.4992889685377</v>
          </cell>
          <cell r="AM156">
            <v>3028.8368067443243</v>
          </cell>
          <cell r="AN156">
            <v>2953.1158865757161</v>
          </cell>
          <cell r="AO156">
            <v>2879.287989411323</v>
          </cell>
        </row>
        <row r="157">
          <cell r="A157" t="str">
            <v>Cohort 12</v>
          </cell>
          <cell r="M157">
            <v>6000</v>
          </cell>
          <cell r="N157">
            <v>5850</v>
          </cell>
          <cell r="O157">
            <v>5703.75</v>
          </cell>
          <cell r="P157">
            <v>5561.15625</v>
          </cell>
          <cell r="Q157">
            <v>5422.1273437499995</v>
          </cell>
          <cell r="R157">
            <v>5286.5741601562495</v>
          </cell>
          <cell r="S157">
            <v>5154.4098061523428</v>
          </cell>
          <cell r="T157">
            <v>5025.5495609985337</v>
          </cell>
          <cell r="U157">
            <v>4899.9108219735699</v>
          </cell>
          <cell r="V157">
            <v>4777.4130514242306</v>
          </cell>
          <cell r="W157">
            <v>4657.9777251386249</v>
          </cell>
          <cell r="X157">
            <v>4541.5282820101593</v>
          </cell>
          <cell r="Y157">
            <v>4427.9900749599055</v>
          </cell>
          <cell r="Z157">
            <v>4317.2903230859074</v>
          </cell>
          <cell r="AA157">
            <v>4209.3580650087597</v>
          </cell>
          <cell r="AB157">
            <v>4104.124113383541</v>
          </cell>
          <cell r="AC157">
            <v>4001.5210105489523</v>
          </cell>
          <cell r="AD157">
            <v>3901.4829852852286</v>
          </cell>
          <cell r="AE157">
            <v>3803.9459106530976</v>
          </cell>
          <cell r="AF157">
            <v>3708.8472628867703</v>
          </cell>
          <cell r="AG157">
            <v>3616.1260813146009</v>
          </cell>
          <cell r="AH157">
            <v>3525.722929281736</v>
          </cell>
          <cell r="AI157">
            <v>3437.5798560496924</v>
          </cell>
          <cell r="AJ157">
            <v>3351.6403596484502</v>
          </cell>
          <cell r="AK157">
            <v>3267.849350657239</v>
          </cell>
          <cell r="AL157">
            <v>3186.1531168908082</v>
          </cell>
          <cell r="AM157">
            <v>3106.4992889685377</v>
          </cell>
          <cell r="AN157">
            <v>3028.8368067443243</v>
          </cell>
          <cell r="AO157">
            <v>2953.1158865757161</v>
          </cell>
        </row>
        <row r="158">
          <cell r="A158" t="str">
            <v>Cohort 13</v>
          </cell>
          <cell r="N158">
            <v>6000</v>
          </cell>
          <cell r="O158">
            <v>5850</v>
          </cell>
          <cell r="P158">
            <v>5703.75</v>
          </cell>
          <cell r="Q158">
            <v>5561.15625</v>
          </cell>
          <cell r="R158">
            <v>5422.1273437499995</v>
          </cell>
          <cell r="S158">
            <v>5286.5741601562495</v>
          </cell>
          <cell r="T158">
            <v>5154.4098061523428</v>
          </cell>
          <cell r="U158">
            <v>5025.5495609985337</v>
          </cell>
          <cell r="V158">
            <v>4899.9108219735699</v>
          </cell>
          <cell r="W158">
            <v>4777.4130514242306</v>
          </cell>
          <cell r="X158">
            <v>4657.9777251386249</v>
          </cell>
          <cell r="Y158">
            <v>4541.5282820101593</v>
          </cell>
          <cell r="Z158">
            <v>4427.9900749599055</v>
          </cell>
          <cell r="AA158">
            <v>4317.2903230859074</v>
          </cell>
          <cell r="AB158">
            <v>4209.3580650087597</v>
          </cell>
          <cell r="AC158">
            <v>4104.124113383541</v>
          </cell>
          <cell r="AD158">
            <v>4001.5210105489523</v>
          </cell>
          <cell r="AE158">
            <v>3901.4829852852286</v>
          </cell>
          <cell r="AF158">
            <v>3803.9459106530976</v>
          </cell>
          <cell r="AG158">
            <v>3708.8472628867703</v>
          </cell>
          <cell r="AH158">
            <v>3616.1260813146009</v>
          </cell>
          <cell r="AI158">
            <v>3525.722929281736</v>
          </cell>
          <cell r="AJ158">
            <v>3437.5798560496924</v>
          </cell>
          <cell r="AK158">
            <v>3351.6403596484502</v>
          </cell>
          <cell r="AL158">
            <v>3267.849350657239</v>
          </cell>
          <cell r="AM158">
            <v>3186.1531168908082</v>
          </cell>
          <cell r="AN158">
            <v>3106.4992889685377</v>
          </cell>
          <cell r="AO158">
            <v>3028.8368067443243</v>
          </cell>
        </row>
        <row r="159">
          <cell r="A159" t="str">
            <v>Cohort 14</v>
          </cell>
          <cell r="O159">
            <v>6000</v>
          </cell>
          <cell r="P159">
            <v>5850</v>
          </cell>
          <cell r="Q159">
            <v>5703.75</v>
          </cell>
          <cell r="R159">
            <v>5561.15625</v>
          </cell>
          <cell r="S159">
            <v>5422.1273437499995</v>
          </cell>
          <cell r="T159">
            <v>5286.5741601562495</v>
          </cell>
          <cell r="U159">
            <v>5154.4098061523428</v>
          </cell>
          <cell r="V159">
            <v>5025.5495609985337</v>
          </cell>
          <cell r="W159">
            <v>4899.9108219735699</v>
          </cell>
          <cell r="X159">
            <v>4777.4130514242306</v>
          </cell>
          <cell r="Y159">
            <v>4657.9777251386249</v>
          </cell>
          <cell r="Z159">
            <v>4541.5282820101593</v>
          </cell>
          <cell r="AA159">
            <v>4427.9900749599055</v>
          </cell>
          <cell r="AB159">
            <v>4317.2903230859074</v>
          </cell>
          <cell r="AC159">
            <v>4209.3580650087597</v>
          </cell>
          <cell r="AD159">
            <v>4104.124113383541</v>
          </cell>
          <cell r="AE159">
            <v>4001.5210105489523</v>
          </cell>
          <cell r="AF159">
            <v>3901.4829852852286</v>
          </cell>
          <cell r="AG159">
            <v>3803.9459106530976</v>
          </cell>
          <cell r="AH159">
            <v>3708.8472628867703</v>
          </cell>
          <cell r="AI159">
            <v>3616.1260813146009</v>
          </cell>
          <cell r="AJ159">
            <v>3525.722929281736</v>
          </cell>
          <cell r="AK159">
            <v>3437.5798560496924</v>
          </cell>
          <cell r="AL159">
            <v>3351.6403596484502</v>
          </cell>
          <cell r="AM159">
            <v>3267.849350657239</v>
          </cell>
          <cell r="AN159">
            <v>3186.1531168908082</v>
          </cell>
          <cell r="AO159">
            <v>3106.4992889685377</v>
          </cell>
        </row>
        <row r="160">
          <cell r="A160" t="str">
            <v>Cohort 15</v>
          </cell>
          <cell r="P160">
            <v>6000</v>
          </cell>
          <cell r="Q160">
            <v>5850</v>
          </cell>
          <cell r="R160">
            <v>5703.75</v>
          </cell>
          <cell r="S160">
            <v>5561.15625</v>
          </cell>
          <cell r="T160">
            <v>5422.1273437499995</v>
          </cell>
          <cell r="U160">
            <v>5286.5741601562495</v>
          </cell>
          <cell r="V160">
            <v>5154.4098061523428</v>
          </cell>
          <cell r="W160">
            <v>5025.5495609985337</v>
          </cell>
          <cell r="X160">
            <v>4899.9108219735699</v>
          </cell>
          <cell r="Y160">
            <v>4777.4130514242306</v>
          </cell>
          <cell r="Z160">
            <v>4657.9777251386249</v>
          </cell>
          <cell r="AA160">
            <v>4541.5282820101593</v>
          </cell>
          <cell r="AB160">
            <v>4427.9900749599055</v>
          </cell>
          <cell r="AC160">
            <v>4317.2903230859074</v>
          </cell>
          <cell r="AD160">
            <v>4209.3580650087597</v>
          </cell>
          <cell r="AE160">
            <v>4104.124113383541</v>
          </cell>
          <cell r="AF160">
            <v>4001.5210105489523</v>
          </cell>
          <cell r="AG160">
            <v>3901.4829852852286</v>
          </cell>
          <cell r="AH160">
            <v>3803.9459106530976</v>
          </cell>
          <cell r="AI160">
            <v>3708.8472628867703</v>
          </cell>
          <cell r="AJ160">
            <v>3616.1260813146009</v>
          </cell>
          <cell r="AK160">
            <v>3525.722929281736</v>
          </cell>
          <cell r="AL160">
            <v>3437.5798560496924</v>
          </cell>
          <cell r="AM160">
            <v>3351.6403596484502</v>
          </cell>
          <cell r="AN160">
            <v>3267.849350657239</v>
          </cell>
          <cell r="AO160">
            <v>3186.1531168908082</v>
          </cell>
        </row>
        <row r="161">
          <cell r="A161" t="str">
            <v>Cohort 16</v>
          </cell>
          <cell r="Q161">
            <v>6000</v>
          </cell>
          <cell r="R161">
            <v>5850</v>
          </cell>
          <cell r="S161">
            <v>5703.75</v>
          </cell>
          <cell r="T161">
            <v>5561.15625</v>
          </cell>
          <cell r="U161">
            <v>5422.1273437499995</v>
          </cell>
          <cell r="V161">
            <v>5286.5741601562495</v>
          </cell>
          <cell r="W161">
            <v>5154.4098061523428</v>
          </cell>
          <cell r="X161">
            <v>5025.5495609985337</v>
          </cell>
          <cell r="Y161">
            <v>4899.9108219735699</v>
          </cell>
          <cell r="Z161">
            <v>4777.4130514242306</v>
          </cell>
          <cell r="AA161">
            <v>4657.9777251386249</v>
          </cell>
          <cell r="AB161">
            <v>4541.5282820101593</v>
          </cell>
          <cell r="AC161">
            <v>4427.9900749599055</v>
          </cell>
          <cell r="AD161">
            <v>4317.2903230859074</v>
          </cell>
          <cell r="AE161">
            <v>4209.3580650087597</v>
          </cell>
          <cell r="AF161">
            <v>4104.124113383541</v>
          </cell>
          <cell r="AG161">
            <v>4001.5210105489523</v>
          </cell>
          <cell r="AH161">
            <v>3901.4829852852286</v>
          </cell>
          <cell r="AI161">
            <v>3803.9459106530976</v>
          </cell>
          <cell r="AJ161">
            <v>3708.8472628867703</v>
          </cell>
          <cell r="AK161">
            <v>3616.1260813146009</v>
          </cell>
          <cell r="AL161">
            <v>3525.722929281736</v>
          </cell>
          <cell r="AM161">
            <v>3437.5798560496924</v>
          </cell>
          <cell r="AN161">
            <v>3351.6403596484502</v>
          </cell>
          <cell r="AO161">
            <v>3267.849350657239</v>
          </cell>
        </row>
        <row r="162">
          <cell r="A162" t="str">
            <v>Cohort 17</v>
          </cell>
          <cell r="R162">
            <v>6000</v>
          </cell>
          <cell r="S162">
            <v>5850</v>
          </cell>
          <cell r="T162">
            <v>5703.75</v>
          </cell>
          <cell r="U162">
            <v>5561.15625</v>
          </cell>
          <cell r="V162">
            <v>5422.1273437499995</v>
          </cell>
          <cell r="W162">
            <v>5286.5741601562495</v>
          </cell>
          <cell r="X162">
            <v>5154.4098061523428</v>
          </cell>
          <cell r="Y162">
            <v>5025.5495609985337</v>
          </cell>
          <cell r="Z162">
            <v>4899.9108219735699</v>
          </cell>
          <cell r="AA162">
            <v>4777.4130514242306</v>
          </cell>
          <cell r="AB162">
            <v>4657.9777251386249</v>
          </cell>
          <cell r="AC162">
            <v>4541.5282820101593</v>
          </cell>
          <cell r="AD162">
            <v>4427.9900749599055</v>
          </cell>
          <cell r="AE162">
            <v>4317.2903230859074</v>
          </cell>
          <cell r="AF162">
            <v>4209.3580650087597</v>
          </cell>
          <cell r="AG162">
            <v>4104.124113383541</v>
          </cell>
          <cell r="AH162">
            <v>4001.5210105489523</v>
          </cell>
          <cell r="AI162">
            <v>3901.4829852852286</v>
          </cell>
          <cell r="AJ162">
            <v>3803.9459106530976</v>
          </cell>
          <cell r="AK162">
            <v>3708.8472628867703</v>
          </cell>
          <cell r="AL162">
            <v>3616.1260813146009</v>
          </cell>
          <cell r="AM162">
            <v>3525.722929281736</v>
          </cell>
          <cell r="AN162">
            <v>3437.5798560496924</v>
          </cell>
          <cell r="AO162">
            <v>3351.6403596484502</v>
          </cell>
        </row>
        <row r="163">
          <cell r="A163" t="str">
            <v>Cohort 18</v>
          </cell>
          <cell r="S163">
            <v>6000</v>
          </cell>
          <cell r="T163">
            <v>5850</v>
          </cell>
          <cell r="U163">
            <v>5703.75</v>
          </cell>
          <cell r="V163">
            <v>5561.15625</v>
          </cell>
          <cell r="W163">
            <v>5422.1273437499995</v>
          </cell>
          <cell r="X163">
            <v>5286.5741601562495</v>
          </cell>
          <cell r="Y163">
            <v>5154.4098061523428</v>
          </cell>
          <cell r="Z163">
            <v>5025.5495609985337</v>
          </cell>
          <cell r="AA163">
            <v>4899.9108219735699</v>
          </cell>
          <cell r="AB163">
            <v>4777.4130514242306</v>
          </cell>
          <cell r="AC163">
            <v>4657.9777251386249</v>
          </cell>
          <cell r="AD163">
            <v>4541.5282820101593</v>
          </cell>
          <cell r="AE163">
            <v>4427.9900749599055</v>
          </cell>
          <cell r="AF163">
            <v>4317.2903230859074</v>
          </cell>
          <cell r="AG163">
            <v>4209.3580650087597</v>
          </cell>
          <cell r="AH163">
            <v>4104.124113383541</v>
          </cell>
          <cell r="AI163">
            <v>4001.5210105489523</v>
          </cell>
          <cell r="AJ163">
            <v>3901.4829852852286</v>
          </cell>
          <cell r="AK163">
            <v>3803.9459106530976</v>
          </cell>
          <cell r="AL163">
            <v>3708.8472628867703</v>
          </cell>
          <cell r="AM163">
            <v>3616.1260813146009</v>
          </cell>
          <cell r="AN163">
            <v>3525.722929281736</v>
          </cell>
          <cell r="AO163">
            <v>3437.5798560496924</v>
          </cell>
        </row>
        <row r="164">
          <cell r="A164" t="str">
            <v>Cohort 19</v>
          </cell>
          <cell r="T164">
            <v>6000</v>
          </cell>
          <cell r="U164">
            <v>5850</v>
          </cell>
          <cell r="V164">
            <v>5703.75</v>
          </cell>
          <cell r="W164">
            <v>5561.15625</v>
          </cell>
          <cell r="X164">
            <v>5422.1273437499995</v>
          </cell>
          <cell r="Y164">
            <v>5286.5741601562495</v>
          </cell>
          <cell r="Z164">
            <v>5154.4098061523428</v>
          </cell>
          <cell r="AA164">
            <v>5025.5495609985337</v>
          </cell>
          <cell r="AB164">
            <v>4899.9108219735699</v>
          </cell>
          <cell r="AC164">
            <v>4777.4130514242306</v>
          </cell>
          <cell r="AD164">
            <v>4657.9777251386249</v>
          </cell>
          <cell r="AE164">
            <v>4541.5282820101593</v>
          </cell>
          <cell r="AF164">
            <v>4427.9900749599055</v>
          </cell>
          <cell r="AG164">
            <v>4317.2903230859074</v>
          </cell>
          <cell r="AH164">
            <v>4209.3580650087597</v>
          </cell>
          <cell r="AI164">
            <v>4104.124113383541</v>
          </cell>
          <cell r="AJ164">
            <v>4001.5210105489523</v>
          </cell>
          <cell r="AK164">
            <v>3901.4829852852286</v>
          </cell>
          <cell r="AL164">
            <v>3803.9459106530976</v>
          </cell>
          <cell r="AM164">
            <v>3708.8472628867703</v>
          </cell>
          <cell r="AN164">
            <v>3616.1260813146009</v>
          </cell>
          <cell r="AO164">
            <v>3525.722929281736</v>
          </cell>
        </row>
        <row r="165">
          <cell r="A165" t="str">
            <v>Cohort 20</v>
          </cell>
          <cell r="U165">
            <v>6000</v>
          </cell>
          <cell r="V165">
            <v>5850</v>
          </cell>
          <cell r="W165">
            <v>5703.75</v>
          </cell>
          <cell r="X165">
            <v>5561.15625</v>
          </cell>
          <cell r="Y165">
            <v>5422.1273437499995</v>
          </cell>
          <cell r="Z165">
            <v>5286.5741601562495</v>
          </cell>
          <cell r="AA165">
            <v>5154.4098061523428</v>
          </cell>
          <cell r="AB165">
            <v>5025.5495609985337</v>
          </cell>
          <cell r="AC165">
            <v>4899.9108219735699</v>
          </cell>
          <cell r="AD165">
            <v>4777.4130514242306</v>
          </cell>
          <cell r="AE165">
            <v>4657.9777251386249</v>
          </cell>
          <cell r="AF165">
            <v>4541.5282820101593</v>
          </cell>
          <cell r="AG165">
            <v>4427.9900749599055</v>
          </cell>
          <cell r="AH165">
            <v>4317.2903230859074</v>
          </cell>
          <cell r="AI165">
            <v>4209.3580650087597</v>
          </cell>
          <cell r="AJ165">
            <v>4104.124113383541</v>
          </cell>
          <cell r="AK165">
            <v>4001.5210105489523</v>
          </cell>
          <cell r="AL165">
            <v>3901.4829852852286</v>
          </cell>
          <cell r="AM165">
            <v>3803.9459106530976</v>
          </cell>
          <cell r="AN165">
            <v>3708.8472628867703</v>
          </cell>
          <cell r="AO165">
            <v>3616.1260813146009</v>
          </cell>
        </row>
        <row r="166">
          <cell r="A166" t="str">
            <v>Cohort 21</v>
          </cell>
          <cell r="V166">
            <v>6000</v>
          </cell>
          <cell r="W166">
            <v>5850</v>
          </cell>
          <cell r="X166">
            <v>5703.75</v>
          </cell>
          <cell r="Y166">
            <v>5561.15625</v>
          </cell>
          <cell r="Z166">
            <v>5422.1273437499995</v>
          </cell>
          <cell r="AA166">
            <v>5286.5741601562495</v>
          </cell>
          <cell r="AB166">
            <v>5154.4098061523428</v>
          </cell>
          <cell r="AC166">
            <v>5025.5495609985337</v>
          </cell>
          <cell r="AD166">
            <v>4899.9108219735699</v>
          </cell>
          <cell r="AE166">
            <v>4777.4130514242306</v>
          </cell>
          <cell r="AF166">
            <v>4657.9777251386249</v>
          </cell>
          <cell r="AG166">
            <v>4541.5282820101593</v>
          </cell>
          <cell r="AH166">
            <v>4427.9900749599055</v>
          </cell>
          <cell r="AI166">
            <v>4317.2903230859074</v>
          </cell>
          <cell r="AJ166">
            <v>4209.3580650087597</v>
          </cell>
          <cell r="AK166">
            <v>4104.124113383541</v>
          </cell>
          <cell r="AL166">
            <v>4001.5210105489523</v>
          </cell>
          <cell r="AM166">
            <v>3901.4829852852286</v>
          </cell>
          <cell r="AN166">
            <v>3803.9459106530976</v>
          </cell>
          <cell r="AO166">
            <v>3708.8472628867703</v>
          </cell>
        </row>
        <row r="167">
          <cell r="A167" t="str">
            <v>Cohort 22</v>
          </cell>
          <cell r="W167">
            <v>6000</v>
          </cell>
          <cell r="X167">
            <v>5850</v>
          </cell>
          <cell r="Y167">
            <v>5703.75</v>
          </cell>
          <cell r="Z167">
            <v>5561.15625</v>
          </cell>
          <cell r="AA167">
            <v>5422.1273437499995</v>
          </cell>
          <cell r="AB167">
            <v>5286.5741601562495</v>
          </cell>
          <cell r="AC167">
            <v>5154.4098061523428</v>
          </cell>
          <cell r="AD167">
            <v>5025.5495609985337</v>
          </cell>
          <cell r="AE167">
            <v>4899.9108219735699</v>
          </cell>
          <cell r="AF167">
            <v>4777.4130514242306</v>
          </cell>
          <cell r="AG167">
            <v>4657.9777251386249</v>
          </cell>
          <cell r="AH167">
            <v>4541.5282820101593</v>
          </cell>
          <cell r="AI167">
            <v>4427.9900749599055</v>
          </cell>
          <cell r="AJ167">
            <v>4317.2903230859074</v>
          </cell>
          <cell r="AK167">
            <v>4209.3580650087597</v>
          </cell>
          <cell r="AL167">
            <v>4104.124113383541</v>
          </cell>
          <cell r="AM167">
            <v>4001.5210105489523</v>
          </cell>
          <cell r="AN167">
            <v>3901.4829852852286</v>
          </cell>
          <cell r="AO167">
            <v>3803.9459106530976</v>
          </cell>
        </row>
        <row r="168">
          <cell r="A168" t="str">
            <v>Cohort 23</v>
          </cell>
          <cell r="X168">
            <v>6000</v>
          </cell>
          <cell r="Y168">
            <v>5850</v>
          </cell>
          <cell r="Z168">
            <v>5703.75</v>
          </cell>
          <cell r="AA168">
            <v>5561.15625</v>
          </cell>
          <cell r="AB168">
            <v>5422.1273437499995</v>
          </cell>
          <cell r="AC168">
            <v>5286.5741601562495</v>
          </cell>
          <cell r="AD168">
            <v>5154.4098061523428</v>
          </cell>
          <cell r="AE168">
            <v>5025.5495609985337</v>
          </cell>
          <cell r="AF168">
            <v>4899.9108219735699</v>
          </cell>
          <cell r="AG168">
            <v>4777.4130514242306</v>
          </cell>
          <cell r="AH168">
            <v>4657.9777251386249</v>
          </cell>
          <cell r="AI168">
            <v>4541.5282820101593</v>
          </cell>
          <cell r="AJ168">
            <v>4427.9900749599055</v>
          </cell>
          <cell r="AK168">
            <v>4317.2903230859074</v>
          </cell>
          <cell r="AL168">
            <v>4209.3580650087597</v>
          </cell>
          <cell r="AM168">
            <v>4104.124113383541</v>
          </cell>
          <cell r="AN168">
            <v>4001.5210105489523</v>
          </cell>
          <cell r="AO168">
            <v>3901.4829852852286</v>
          </cell>
        </row>
        <row r="169">
          <cell r="A169" t="str">
            <v>Cohort 24</v>
          </cell>
          <cell r="Y169">
            <v>6000</v>
          </cell>
          <cell r="Z169">
            <v>5850</v>
          </cell>
          <cell r="AA169">
            <v>5703.75</v>
          </cell>
          <cell r="AB169">
            <v>5561.15625</v>
          </cell>
          <cell r="AC169">
            <v>5422.1273437499995</v>
          </cell>
          <cell r="AD169">
            <v>5286.5741601562495</v>
          </cell>
          <cell r="AE169">
            <v>5154.4098061523428</v>
          </cell>
          <cell r="AF169">
            <v>5025.5495609985337</v>
          </cell>
          <cell r="AG169">
            <v>4899.9108219735699</v>
          </cell>
          <cell r="AH169">
            <v>4777.4130514242306</v>
          </cell>
          <cell r="AI169">
            <v>4657.9777251386249</v>
          </cell>
          <cell r="AJ169">
            <v>4541.5282820101593</v>
          </cell>
          <cell r="AK169">
            <v>4427.9900749599055</v>
          </cell>
          <cell r="AL169">
            <v>4317.2903230859074</v>
          </cell>
          <cell r="AM169">
            <v>4209.3580650087597</v>
          </cell>
          <cell r="AN169">
            <v>4104.124113383541</v>
          </cell>
          <cell r="AO169">
            <v>4001.5210105489523</v>
          </cell>
        </row>
        <row r="170">
          <cell r="A170" t="str">
            <v>Cohort 25</v>
          </cell>
          <cell r="Z170">
            <v>6000</v>
          </cell>
          <cell r="AA170">
            <v>5850</v>
          </cell>
          <cell r="AB170">
            <v>5703.75</v>
          </cell>
          <cell r="AC170">
            <v>5561.15625</v>
          </cell>
          <cell r="AD170">
            <v>5422.1273437499995</v>
          </cell>
          <cell r="AE170">
            <v>5286.5741601562495</v>
          </cell>
          <cell r="AF170">
            <v>5154.4098061523428</v>
          </cell>
          <cell r="AG170">
            <v>5025.5495609985337</v>
          </cell>
          <cell r="AH170">
            <v>4899.9108219735699</v>
          </cell>
          <cell r="AI170">
            <v>4777.4130514242306</v>
          </cell>
          <cell r="AJ170">
            <v>4657.9777251386249</v>
          </cell>
          <cell r="AK170">
            <v>4541.5282820101593</v>
          </cell>
          <cell r="AL170">
            <v>4427.9900749599055</v>
          </cell>
          <cell r="AM170">
            <v>4317.2903230859074</v>
          </cell>
          <cell r="AN170">
            <v>4209.3580650087597</v>
          </cell>
          <cell r="AO170">
            <v>4104.124113383541</v>
          </cell>
        </row>
        <row r="171">
          <cell r="A171" t="str">
            <v>Cohort 26</v>
          </cell>
          <cell r="AA171">
            <v>6000</v>
          </cell>
          <cell r="AB171">
            <v>5850</v>
          </cell>
          <cell r="AC171">
            <v>5703.75</v>
          </cell>
          <cell r="AD171">
            <v>5561.15625</v>
          </cell>
          <cell r="AE171">
            <v>5422.1273437499995</v>
          </cell>
          <cell r="AF171">
            <v>5286.5741601562495</v>
          </cell>
          <cell r="AG171">
            <v>5154.4098061523428</v>
          </cell>
          <cell r="AH171">
            <v>5025.5495609985337</v>
          </cell>
          <cell r="AI171">
            <v>4899.9108219735699</v>
          </cell>
          <cell r="AJ171">
            <v>4777.4130514242306</v>
          </cell>
          <cell r="AK171">
            <v>4657.9777251386249</v>
          </cell>
          <cell r="AL171">
            <v>4541.5282820101593</v>
          </cell>
          <cell r="AM171">
            <v>4427.9900749599055</v>
          </cell>
          <cell r="AN171">
            <v>4317.2903230859074</v>
          </cell>
          <cell r="AO171">
            <v>4209.3580650087597</v>
          </cell>
        </row>
        <row r="172">
          <cell r="A172" t="str">
            <v>Cohort 27</v>
          </cell>
          <cell r="AB172">
            <v>6000</v>
          </cell>
          <cell r="AC172">
            <v>5850</v>
          </cell>
          <cell r="AD172">
            <v>5703.75</v>
          </cell>
          <cell r="AE172">
            <v>5561.15625</v>
          </cell>
          <cell r="AF172">
            <v>5422.1273437499995</v>
          </cell>
          <cell r="AG172">
            <v>5286.5741601562495</v>
          </cell>
          <cell r="AH172">
            <v>5154.4098061523428</v>
          </cell>
          <cell r="AI172">
            <v>5025.5495609985337</v>
          </cell>
          <cell r="AJ172">
            <v>4899.9108219735699</v>
          </cell>
          <cell r="AK172">
            <v>4777.4130514242306</v>
          </cell>
          <cell r="AL172">
            <v>4657.9777251386249</v>
          </cell>
          <cell r="AM172">
            <v>4541.5282820101593</v>
          </cell>
          <cell r="AN172">
            <v>4427.9900749599055</v>
          </cell>
          <cell r="AO172">
            <v>4317.2903230859074</v>
          </cell>
        </row>
        <row r="173">
          <cell r="A173" t="str">
            <v>Cohort 28</v>
          </cell>
          <cell r="AC173">
            <v>6000</v>
          </cell>
          <cell r="AD173">
            <v>5850</v>
          </cell>
          <cell r="AE173">
            <v>5703.75</v>
          </cell>
          <cell r="AF173">
            <v>5561.15625</v>
          </cell>
          <cell r="AG173">
            <v>5422.1273437499995</v>
          </cell>
          <cell r="AH173">
            <v>5286.5741601562495</v>
          </cell>
          <cell r="AI173">
            <v>5154.4098061523428</v>
          </cell>
          <cell r="AJ173">
            <v>5025.5495609985337</v>
          </cell>
          <cell r="AK173">
            <v>4899.9108219735699</v>
          </cell>
          <cell r="AL173">
            <v>4777.4130514242306</v>
          </cell>
          <cell r="AM173">
            <v>4657.9777251386249</v>
          </cell>
          <cell r="AN173">
            <v>4541.5282820101593</v>
          </cell>
          <cell r="AO173">
            <v>4427.9900749599055</v>
          </cell>
        </row>
        <row r="174">
          <cell r="A174" t="str">
            <v>Cohort 29</v>
          </cell>
          <cell r="AD174">
            <v>6000</v>
          </cell>
          <cell r="AE174">
            <v>5850</v>
          </cell>
          <cell r="AF174">
            <v>5703.75</v>
          </cell>
          <cell r="AG174">
            <v>5561.15625</v>
          </cell>
          <cell r="AH174">
            <v>5422.1273437499995</v>
          </cell>
          <cell r="AI174">
            <v>5286.5741601562495</v>
          </cell>
          <cell r="AJ174">
            <v>5154.4098061523428</v>
          </cell>
          <cell r="AK174">
            <v>5025.5495609985337</v>
          </cell>
          <cell r="AL174">
            <v>4899.9108219735699</v>
          </cell>
          <cell r="AM174">
            <v>4777.4130514242306</v>
          </cell>
          <cell r="AN174">
            <v>4657.9777251386249</v>
          </cell>
          <cell r="AO174">
            <v>4541.5282820101593</v>
          </cell>
        </row>
        <row r="175">
          <cell r="A175" t="str">
            <v>Cohort 30</v>
          </cell>
          <cell r="AE175">
            <v>6000</v>
          </cell>
          <cell r="AF175">
            <v>5850</v>
          </cell>
          <cell r="AG175">
            <v>5703.75</v>
          </cell>
          <cell r="AH175">
            <v>5561.15625</v>
          </cell>
          <cell r="AI175">
            <v>5422.1273437499995</v>
          </cell>
          <cell r="AJ175">
            <v>5286.5741601562495</v>
          </cell>
          <cell r="AK175">
            <v>5154.4098061523428</v>
          </cell>
          <cell r="AL175">
            <v>5025.5495609985337</v>
          </cell>
          <cell r="AM175">
            <v>4899.9108219735699</v>
          </cell>
          <cell r="AN175">
            <v>4777.4130514242306</v>
          </cell>
          <cell r="AO175">
            <v>4657.9777251386249</v>
          </cell>
        </row>
        <row r="176">
          <cell r="A176" t="str">
            <v>Cohort 31</v>
          </cell>
          <cell r="AF176">
            <v>6000</v>
          </cell>
          <cell r="AG176">
            <v>5850</v>
          </cell>
          <cell r="AH176">
            <v>5703.75</v>
          </cell>
          <cell r="AI176">
            <v>5561.15625</v>
          </cell>
          <cell r="AJ176">
            <v>5422.1273437499995</v>
          </cell>
          <cell r="AK176">
            <v>5286.5741601562495</v>
          </cell>
          <cell r="AL176">
            <v>5154.4098061523428</v>
          </cell>
          <cell r="AM176">
            <v>5025.5495609985337</v>
          </cell>
          <cell r="AN176">
            <v>4899.9108219735699</v>
          </cell>
          <cell r="AO176">
            <v>4777.4130514242306</v>
          </cell>
        </row>
        <row r="177">
          <cell r="A177" t="str">
            <v>Cohort 32</v>
          </cell>
          <cell r="AG177">
            <v>6000</v>
          </cell>
          <cell r="AH177">
            <v>5850</v>
          </cell>
          <cell r="AI177">
            <v>5703.75</v>
          </cell>
          <cell r="AJ177">
            <v>5561.15625</v>
          </cell>
          <cell r="AK177">
            <v>5422.1273437499995</v>
          </cell>
          <cell r="AL177">
            <v>5286.5741601562495</v>
          </cell>
          <cell r="AM177">
            <v>5154.4098061523428</v>
          </cell>
          <cell r="AN177">
            <v>5025.5495609985337</v>
          </cell>
          <cell r="AO177">
            <v>4899.9108219735699</v>
          </cell>
        </row>
        <row r="178">
          <cell r="A178" t="str">
            <v>Cohort 33</v>
          </cell>
          <cell r="AH178">
            <v>6000</v>
          </cell>
          <cell r="AI178">
            <v>5850</v>
          </cell>
          <cell r="AJ178">
            <v>5703.75</v>
          </cell>
          <cell r="AK178">
            <v>5561.15625</v>
          </cell>
          <cell r="AL178">
            <v>5422.1273437499995</v>
          </cell>
          <cell r="AM178">
            <v>5286.5741601562495</v>
          </cell>
          <cell r="AN178">
            <v>5154.4098061523428</v>
          </cell>
          <cell r="AO178">
            <v>5025.5495609985337</v>
          </cell>
        </row>
        <row r="179">
          <cell r="A179" t="str">
            <v>Cohort 34</v>
          </cell>
          <cell r="AI179">
            <v>6000</v>
          </cell>
          <cell r="AJ179">
            <v>5850</v>
          </cell>
          <cell r="AK179">
            <v>5703.75</v>
          </cell>
          <cell r="AL179">
            <v>5561.15625</v>
          </cell>
          <cell r="AM179">
            <v>5422.1273437499995</v>
          </cell>
          <cell r="AN179">
            <v>5286.5741601562495</v>
          </cell>
          <cell r="AO179">
            <v>5154.4098061523428</v>
          </cell>
        </row>
        <row r="180">
          <cell r="A180" t="str">
            <v>Cohort 35</v>
          </cell>
          <cell r="AJ180">
            <v>6000</v>
          </cell>
          <cell r="AK180">
            <v>5850</v>
          </cell>
          <cell r="AL180">
            <v>5703.75</v>
          </cell>
          <cell r="AM180">
            <v>5561.15625</v>
          </cell>
          <cell r="AN180">
            <v>5422.1273437499995</v>
          </cell>
          <cell r="AO180">
            <v>5286.5741601562495</v>
          </cell>
        </row>
        <row r="181">
          <cell r="A181" t="str">
            <v>Cohort 36</v>
          </cell>
          <cell r="AK181">
            <v>6000</v>
          </cell>
          <cell r="AL181">
            <v>5850</v>
          </cell>
          <cell r="AM181">
            <v>5703.75</v>
          </cell>
          <cell r="AN181">
            <v>5561.15625</v>
          </cell>
          <cell r="AO181">
            <v>5422.1273437499995</v>
          </cell>
        </row>
        <row r="182">
          <cell r="A182" t="str">
            <v>Cohort 37</v>
          </cell>
          <cell r="AL182">
            <v>6000</v>
          </cell>
          <cell r="AM182">
            <v>5850</v>
          </cell>
          <cell r="AN182">
            <v>5703.75</v>
          </cell>
          <cell r="AO182">
            <v>5561.15625</v>
          </cell>
        </row>
        <row r="183">
          <cell r="A183" t="str">
            <v>Cohort 38</v>
          </cell>
          <cell r="AM183">
            <v>6000</v>
          </cell>
          <cell r="AN183">
            <v>5850</v>
          </cell>
          <cell r="AO183">
            <v>5703.75</v>
          </cell>
        </row>
        <row r="184">
          <cell r="A184" t="str">
            <v>Cohort 39</v>
          </cell>
          <cell r="AN184">
            <v>6000</v>
          </cell>
          <cell r="AO184">
            <v>5850</v>
          </cell>
        </row>
        <row r="185">
          <cell r="A185" t="str">
            <v>Cohort 40</v>
          </cell>
          <cell r="AO185">
            <v>6000</v>
          </cell>
        </row>
      </sheetData>
      <sheetData sheetId="1">
        <row r="2">
          <cell r="B2" t="str">
            <v>Month 1</v>
          </cell>
          <cell r="C2" t="str">
            <v>Month 2</v>
          </cell>
        </row>
        <row r="3">
          <cell r="A3" t="str">
            <v>Cost to Acquire (CAC)</v>
          </cell>
          <cell r="B3">
            <v>-6000</v>
          </cell>
        </row>
        <row r="4">
          <cell r="A4" t="str">
            <v>License Revenue</v>
          </cell>
          <cell r="C4">
            <v>18000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ily Monthly Contracts"/>
      <sheetName val="Dashboard"/>
      <sheetName val="Annual Contracts"/>
      <sheetName val="Salaries"/>
      <sheetName val="LTV Charts"/>
    </sheetNames>
    <sheetDataSet>
      <sheetData sheetId="0">
        <row r="7">
          <cell r="C7" t="str">
            <v>Dec</v>
          </cell>
          <cell r="D7" t="str">
            <v>Jan</v>
          </cell>
          <cell r="E7" t="str">
            <v>Feb</v>
          </cell>
          <cell r="F7" t="str">
            <v>Mar</v>
          </cell>
          <cell r="G7" t="str">
            <v>Apr</v>
          </cell>
          <cell r="H7" t="str">
            <v>May</v>
          </cell>
          <cell r="I7" t="str">
            <v>Jun</v>
          </cell>
        </row>
        <row r="8">
          <cell r="B8" t="str">
            <v>Bookings $,000's (new custs)</v>
          </cell>
          <cell r="D8">
            <v>121</v>
          </cell>
          <cell r="E8">
            <v>161.00000000000003</v>
          </cell>
          <cell r="F8">
            <v>122.50000000000001</v>
          </cell>
          <cell r="G8">
            <v>168.99999999999997</v>
          </cell>
          <cell r="H8">
            <v>156.6</v>
          </cell>
          <cell r="I8">
            <v>179.80000000000004</v>
          </cell>
        </row>
        <row r="9">
          <cell r="B9" t="str">
            <v>Average Deal Size $'s</v>
          </cell>
          <cell r="D9">
            <v>3025</v>
          </cell>
          <cell r="E9">
            <v>3833.3333333333339</v>
          </cell>
          <cell r="F9">
            <v>2848.8372093023258</v>
          </cell>
          <cell r="G9">
            <v>3673.9130434782605</v>
          </cell>
          <cell r="H9">
            <v>3262.4999999999995</v>
          </cell>
          <cell r="I9">
            <v>3457.6923076923081</v>
          </cell>
        </row>
        <row r="11">
          <cell r="B11" t="str">
            <v>Average Months paid upfront</v>
          </cell>
          <cell r="D11">
            <v>5.5</v>
          </cell>
          <cell r="E11">
            <v>7</v>
          </cell>
          <cell r="F11">
            <v>5</v>
          </cell>
          <cell r="G11">
            <v>6.5</v>
          </cell>
          <cell r="H11">
            <v>5.8</v>
          </cell>
          <cell r="I11">
            <v>6.2</v>
          </cell>
        </row>
        <row r="12">
          <cell r="B12" t="str">
            <v>ARPA (Average MRR) for new custs</v>
          </cell>
          <cell r="D12">
            <v>550</v>
          </cell>
          <cell r="E12">
            <v>547.61904761904771</v>
          </cell>
          <cell r="F12">
            <v>569.76744186046517</v>
          </cell>
          <cell r="G12">
            <v>565.21739130434776</v>
          </cell>
          <cell r="H12">
            <v>562.5</v>
          </cell>
          <cell r="I12">
            <v>557.69230769230774</v>
          </cell>
        </row>
        <row r="15">
          <cell r="C15" t="str">
            <v>Dec</v>
          </cell>
          <cell r="D15" t="str">
            <v>Jan</v>
          </cell>
          <cell r="E15" t="str">
            <v>Feb</v>
          </cell>
          <cell r="F15" t="str">
            <v>Mar</v>
          </cell>
          <cell r="G15" t="str">
            <v>Apr</v>
          </cell>
          <cell r="H15" t="str">
            <v>May</v>
          </cell>
          <cell r="I15" t="str">
            <v>Jun</v>
          </cell>
        </row>
        <row r="16">
          <cell r="B16" t="str">
            <v>New MRR</v>
          </cell>
          <cell r="D16">
            <v>22</v>
          </cell>
          <cell r="E16">
            <v>23</v>
          </cell>
          <cell r="F16">
            <v>24.5</v>
          </cell>
          <cell r="G16">
            <v>26</v>
          </cell>
          <cell r="H16">
            <v>27</v>
          </cell>
          <cell r="I16">
            <v>29</v>
          </cell>
        </row>
        <row r="17">
          <cell r="B17" t="str">
            <v>Churned MRR</v>
          </cell>
          <cell r="D17">
            <v>-8.4</v>
          </cell>
          <cell r="E17">
            <v>-11.2212</v>
          </cell>
          <cell r="F17">
            <v>-9.0273204000000007</v>
          </cell>
          <cell r="G17">
            <v>-8.949888832000001</v>
          </cell>
          <cell r="H17">
            <v>-8.8518536857632011</v>
          </cell>
          <cell r="I17">
            <v>-8.838422783071719</v>
          </cell>
        </row>
        <row r="18">
          <cell r="B18" t="str">
            <v>Expansion MRR</v>
          </cell>
          <cell r="D18">
            <v>2</v>
          </cell>
          <cell r="E18">
            <v>2.4936000000000003</v>
          </cell>
          <cell r="F18">
            <v>2.149362</v>
          </cell>
          <cell r="G18">
            <v>1.3424833248000001</v>
          </cell>
          <cell r="H18">
            <v>6.9883055413920001</v>
          </cell>
          <cell r="I18">
            <v>3.437164415639002</v>
          </cell>
        </row>
        <row r="19">
          <cell r="B19" t="str">
            <v>Net New MRR</v>
          </cell>
          <cell r="C19"/>
          <cell r="D19">
            <v>15.6</v>
          </cell>
          <cell r="E19">
            <v>14.272400000000001</v>
          </cell>
          <cell r="F19">
            <v>17.622041599999999</v>
          </cell>
          <cell r="G19">
            <v>18.392594492800001</v>
          </cell>
          <cell r="H19">
            <v>25.136451855628799</v>
          </cell>
          <cell r="I19">
            <v>23.598741632567283</v>
          </cell>
        </row>
        <row r="22">
          <cell r="B22" t="str">
            <v>Ending MRR</v>
          </cell>
          <cell r="C22">
            <v>400</v>
          </cell>
          <cell r="D22">
            <v>415.6</v>
          </cell>
          <cell r="E22">
            <v>429.87240000000003</v>
          </cell>
          <cell r="F22">
            <v>447.49444160000002</v>
          </cell>
          <cell r="G22">
            <v>465.88703609280003</v>
          </cell>
          <cell r="H22">
            <v>491.02348794842885</v>
          </cell>
          <cell r="I22">
            <v>514.62222958099619</v>
          </cell>
        </row>
        <row r="25">
          <cell r="C25" t="str">
            <v>Dec</v>
          </cell>
          <cell r="D25" t="str">
            <v>Jan</v>
          </cell>
          <cell r="E25" t="str">
            <v>Feb</v>
          </cell>
          <cell r="F25" t="str">
            <v>Mar</v>
          </cell>
          <cell r="G25" t="str">
            <v>Apr</v>
          </cell>
          <cell r="H25" t="str">
            <v>May</v>
          </cell>
          <cell r="I25" t="str">
            <v>Jun</v>
          </cell>
        </row>
        <row r="27">
          <cell r="B27" t="str">
            <v># of new Customers</v>
          </cell>
          <cell r="D27">
            <v>40</v>
          </cell>
          <cell r="E27">
            <v>42</v>
          </cell>
          <cell r="F27">
            <v>43</v>
          </cell>
          <cell r="G27">
            <v>46</v>
          </cell>
          <cell r="H27">
            <v>48</v>
          </cell>
          <cell r="I27">
            <v>52</v>
          </cell>
        </row>
        <row r="31">
          <cell r="B31" t="str">
            <v>% Customer Churn</v>
          </cell>
          <cell r="D31">
            <v>3.0303030303030304E-2</v>
          </cell>
          <cell r="E31">
            <v>3.094059405940594E-2</v>
          </cell>
          <cell r="F31">
            <v>2.7878787878787878E-2</v>
          </cell>
          <cell r="G31">
            <v>2.9585798816568046E-2</v>
          </cell>
          <cell r="H31">
            <v>2.771362586605081E-2</v>
          </cell>
          <cell r="I31">
            <v>2.9213483146067417E-2</v>
          </cell>
        </row>
        <row r="32">
          <cell r="B32" t="str">
            <v>% MRR Churn</v>
          </cell>
          <cell r="D32">
            <v>2.1000000000000001E-2</v>
          </cell>
          <cell r="E32">
            <v>2.7E-2</v>
          </cell>
          <cell r="F32">
            <v>2.1000000000000001E-2</v>
          </cell>
          <cell r="G32">
            <v>0.02</v>
          </cell>
          <cell r="H32">
            <v>1.9E-2</v>
          </cell>
          <cell r="I32">
            <v>1.7999999999999999E-2</v>
          </cell>
        </row>
        <row r="33">
          <cell r="B33" t="str">
            <v>% MRR Expansion</v>
          </cell>
          <cell r="D33">
            <v>5.0000000000000001E-3</v>
          </cell>
          <cell r="E33">
            <v>6.0000000000000001E-3</v>
          </cell>
          <cell r="F33">
            <v>5.0000000000000001E-3</v>
          </cell>
          <cell r="G33">
            <v>3.0000000000000001E-3</v>
          </cell>
          <cell r="H33">
            <v>1.4999999999999999E-2</v>
          </cell>
          <cell r="I33">
            <v>7.0000000000000001E-3</v>
          </cell>
        </row>
        <row r="34">
          <cell r="B34" t="str">
            <v>% Net MRR Churn</v>
          </cell>
          <cell r="C34"/>
          <cell r="D34">
            <v>1.6E-2</v>
          </cell>
          <cell r="E34">
            <v>2.0999999999999998E-2</v>
          </cell>
          <cell r="F34">
            <v>1.6E-2</v>
          </cell>
          <cell r="G34">
            <v>1.7000000000000001E-2</v>
          </cell>
          <cell r="H34">
            <v>4.0000000000000018E-3</v>
          </cell>
          <cell r="I34">
            <v>1.1000000000000001E-2</v>
          </cell>
        </row>
        <row r="36">
          <cell r="B36" t="str">
            <v>Customer Engagement Score</v>
          </cell>
          <cell r="D36">
            <v>121</v>
          </cell>
          <cell r="E36">
            <v>120</v>
          </cell>
          <cell r="F36">
            <v>125</v>
          </cell>
          <cell r="G36">
            <v>126</v>
          </cell>
          <cell r="H36">
            <v>130</v>
          </cell>
          <cell r="I36">
            <v>135</v>
          </cell>
        </row>
        <row r="37">
          <cell r="B37" t="str">
            <v>Net Promoter Score</v>
          </cell>
          <cell r="D37">
            <v>28</v>
          </cell>
          <cell r="E37">
            <v>27</v>
          </cell>
          <cell r="F37">
            <v>29</v>
          </cell>
          <cell r="G37">
            <v>32</v>
          </cell>
          <cell r="H37">
            <v>33</v>
          </cell>
          <cell r="I37">
            <v>35</v>
          </cell>
        </row>
        <row r="39">
          <cell r="C39" t="str">
            <v>Dec</v>
          </cell>
          <cell r="D39" t="str">
            <v>Jan</v>
          </cell>
          <cell r="E39" t="str">
            <v>Feb</v>
          </cell>
          <cell r="F39" t="str">
            <v>Mar</v>
          </cell>
          <cell r="G39" t="str">
            <v>Apr</v>
          </cell>
          <cell r="H39" t="str">
            <v>May</v>
          </cell>
          <cell r="I39" t="str">
            <v>Jun</v>
          </cell>
        </row>
        <row r="40">
          <cell r="B40" t="str">
            <v>LTV</v>
          </cell>
          <cell r="D40">
            <v>21738.095238095237</v>
          </cell>
          <cell r="E40">
            <v>16834.215167548504</v>
          </cell>
          <cell r="F40">
            <v>22519.37984496124</v>
          </cell>
          <cell r="G40">
            <v>23456.521739130432</v>
          </cell>
          <cell r="H40">
            <v>24572.368421052633</v>
          </cell>
          <cell r="I40">
            <v>25715.811965811969</v>
          </cell>
        </row>
        <row r="41">
          <cell r="B41" t="str">
            <v>CAC</v>
          </cell>
          <cell r="D41">
            <v>8750</v>
          </cell>
          <cell r="E41">
            <v>8571.4285714285706</v>
          </cell>
          <cell r="F41">
            <v>8604.6511627906966</v>
          </cell>
          <cell r="G41">
            <v>8260.8695652173901</v>
          </cell>
          <cell r="H41">
            <v>8125</v>
          </cell>
          <cell r="I41">
            <v>7692.3076923076924</v>
          </cell>
        </row>
        <row r="42">
          <cell r="B42" t="str">
            <v>LTV to CAC Ratio</v>
          </cell>
          <cell r="D42">
            <v>2.4843537414965984</v>
          </cell>
          <cell r="E42">
            <v>1.9639917695473257</v>
          </cell>
          <cell r="F42">
            <v>2.6171171171171173</v>
          </cell>
          <cell r="G42">
            <v>2.8394736842105264</v>
          </cell>
          <cell r="H42">
            <v>3.024291497975709</v>
          </cell>
          <cell r="I42">
            <v>3.3430555555555559</v>
          </cell>
        </row>
        <row r="43">
          <cell r="B43" t="str">
            <v>Months to Recover CAC</v>
          </cell>
          <cell r="D43">
            <v>19.167579408543265</v>
          </cell>
          <cell r="E43">
            <v>18.858040859088526</v>
          </cell>
          <cell r="F43">
            <v>18.19522989918859</v>
          </cell>
          <cell r="G43">
            <v>17.608897126969417</v>
          </cell>
          <cell r="H43">
            <v>17.402945113788487</v>
          </cell>
          <cell r="I43">
            <v>16.618196925633569</v>
          </cell>
        </row>
        <row r="69">
          <cell r="D69" t="str">
            <v>Jan</v>
          </cell>
          <cell r="E69" t="str">
            <v>Feb</v>
          </cell>
          <cell r="F69" t="str">
            <v>Mar</v>
          </cell>
          <cell r="G69" t="str">
            <v>Apr</v>
          </cell>
          <cell r="H69" t="str">
            <v>May</v>
          </cell>
          <cell r="I69" t="str">
            <v>Jun</v>
          </cell>
        </row>
        <row r="70">
          <cell r="B70" t="str">
            <v>Vistors to Web Site</v>
          </cell>
          <cell r="D70">
            <v>4700</v>
          </cell>
          <cell r="E70">
            <v>5178</v>
          </cell>
          <cell r="F70">
            <v>4574</v>
          </cell>
          <cell r="G70">
            <v>4923</v>
          </cell>
          <cell r="H70">
            <v>5000</v>
          </cell>
          <cell r="I70">
            <v>5170</v>
          </cell>
        </row>
        <row r="71">
          <cell r="B71" t="str">
            <v>Conversion from Visitors to Trials</v>
          </cell>
          <cell r="D71">
            <v>0.05</v>
          </cell>
          <cell r="E71">
            <v>4.4999999999999998E-2</v>
          </cell>
          <cell r="F71">
            <v>4.7E-2</v>
          </cell>
          <cell r="G71">
            <v>5.1999999999999998E-2</v>
          </cell>
          <cell r="H71">
            <v>4.8000000000000001E-2</v>
          </cell>
          <cell r="I71">
            <v>5.2999999999999999E-2</v>
          </cell>
        </row>
        <row r="72">
          <cell r="B72" t="str">
            <v>Trials in progress</v>
          </cell>
          <cell r="D72">
            <v>235</v>
          </cell>
          <cell r="E72">
            <v>233</v>
          </cell>
          <cell r="F72">
            <v>215</v>
          </cell>
          <cell r="G72">
            <v>256</v>
          </cell>
          <cell r="H72">
            <v>240</v>
          </cell>
          <cell r="I72">
            <v>274</v>
          </cell>
        </row>
        <row r="73">
          <cell r="B73" t="str">
            <v>Conversion from Trials to Purchase</v>
          </cell>
          <cell r="D73">
            <v>0.17</v>
          </cell>
          <cell r="E73">
            <v>0.18</v>
          </cell>
          <cell r="F73">
            <v>0.2</v>
          </cell>
          <cell r="G73">
            <v>0.18</v>
          </cell>
          <cell r="H73">
            <v>0.2</v>
          </cell>
          <cell r="I73">
            <v>0.19</v>
          </cell>
        </row>
        <row r="76">
          <cell r="D76" t="str">
            <v>Jan</v>
          </cell>
          <cell r="E76" t="str">
            <v>Feb</v>
          </cell>
          <cell r="F76" t="str">
            <v>Mar</v>
          </cell>
          <cell r="G76" t="str">
            <v>Apr</v>
          </cell>
          <cell r="H76" t="str">
            <v>May</v>
          </cell>
          <cell r="I76" t="str">
            <v>Jun</v>
          </cell>
        </row>
        <row r="77">
          <cell r="B77" t="str">
            <v xml:space="preserve">No of FTE Sales reps </v>
          </cell>
          <cell r="D77">
            <v>6</v>
          </cell>
          <cell r="E77">
            <v>6.5</v>
          </cell>
          <cell r="F77">
            <v>7</v>
          </cell>
          <cell r="G77">
            <v>7.5</v>
          </cell>
          <cell r="H77">
            <v>8</v>
          </cell>
          <cell r="I77">
            <v>8.5</v>
          </cell>
        </row>
        <row r="82">
          <cell r="B82" t="str">
            <v>Productivity per FTE sales rep</v>
          </cell>
          <cell r="D82">
            <v>3.6666666666666665</v>
          </cell>
          <cell r="E82">
            <v>3.5384615384615383</v>
          </cell>
          <cell r="F82">
            <v>3.5</v>
          </cell>
          <cell r="G82">
            <v>3.4666666666666668</v>
          </cell>
          <cell r="H82">
            <v>3.375</v>
          </cell>
          <cell r="I82">
            <v>3.4117647058823528</v>
          </cell>
        </row>
      </sheetData>
      <sheetData sheetId="1"/>
      <sheetData sheetId="2">
        <row r="5">
          <cell r="C5" t="str">
            <v>Dec</v>
          </cell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</row>
        <row r="6">
          <cell r="B6" t="str">
            <v>Bookings $,000's (new custs)</v>
          </cell>
          <cell r="D6">
            <v>264</v>
          </cell>
          <cell r="E6">
            <v>276</v>
          </cell>
          <cell r="F6">
            <v>294</v>
          </cell>
          <cell r="G6">
            <v>312</v>
          </cell>
          <cell r="H6">
            <v>324</v>
          </cell>
          <cell r="I6">
            <v>348</v>
          </cell>
        </row>
        <row r="9">
          <cell r="B9" t="str">
            <v>Average Months Paid Upfront</v>
          </cell>
          <cell r="D9">
            <v>5.5</v>
          </cell>
          <cell r="E9">
            <v>7</v>
          </cell>
          <cell r="F9">
            <v>5</v>
          </cell>
          <cell r="G9">
            <v>6.5</v>
          </cell>
          <cell r="H9">
            <v>5.8</v>
          </cell>
          <cell r="I9">
            <v>6.2</v>
          </cell>
        </row>
        <row r="10">
          <cell r="B10" t="str">
            <v>ARPA - Avg MRR (for new Custs)</v>
          </cell>
          <cell r="D10">
            <v>550</v>
          </cell>
          <cell r="E10">
            <v>547.61904761904759</v>
          </cell>
          <cell r="F10">
            <v>569.76744186046506</v>
          </cell>
          <cell r="G10">
            <v>565.21739130434787</v>
          </cell>
          <cell r="H10">
            <v>562.5</v>
          </cell>
          <cell r="I10">
            <v>557.69230769230774</v>
          </cell>
        </row>
        <row r="13">
          <cell r="C13" t="str">
            <v>Dec</v>
          </cell>
          <cell r="D13" t="str">
            <v>Jan</v>
          </cell>
          <cell r="E13" t="str">
            <v>Feb</v>
          </cell>
          <cell r="F13" t="str">
            <v>Mar</v>
          </cell>
          <cell r="G13" t="str">
            <v>Apr</v>
          </cell>
          <cell r="H13" t="str">
            <v>May</v>
          </cell>
          <cell r="I13" t="str">
            <v>Jun</v>
          </cell>
        </row>
        <row r="14">
          <cell r="B14" t="str">
            <v>New ARR</v>
          </cell>
          <cell r="D14">
            <v>264</v>
          </cell>
          <cell r="E14">
            <v>276</v>
          </cell>
          <cell r="F14">
            <v>294</v>
          </cell>
          <cell r="G14">
            <v>312</v>
          </cell>
          <cell r="H14">
            <v>324</v>
          </cell>
          <cell r="I14">
            <v>348</v>
          </cell>
        </row>
        <row r="15">
          <cell r="B15" t="str">
            <v>Churned ARR</v>
          </cell>
          <cell r="D15">
            <v>-100.80000000000001</v>
          </cell>
          <cell r="E15">
            <v>-134.65439999999998</v>
          </cell>
          <cell r="F15">
            <v>-108.32784479999999</v>
          </cell>
          <cell r="G15">
            <v>-107.398665984</v>
          </cell>
          <cell r="H15">
            <v>-106.22224422915839</v>
          </cell>
          <cell r="I15">
            <v>-106.06107339686062</v>
          </cell>
        </row>
        <row r="16">
          <cell r="B16" t="str">
            <v>Expansion ARR</v>
          </cell>
          <cell r="D16">
            <v>24</v>
          </cell>
          <cell r="E16">
            <v>29.923199999999998</v>
          </cell>
          <cell r="F16">
            <v>25.792344</v>
          </cell>
          <cell r="G16">
            <v>16.109799897599999</v>
          </cell>
          <cell r="H16">
            <v>83.859666496703994</v>
          </cell>
          <cell r="I16">
            <v>41.245972987668019</v>
          </cell>
        </row>
        <row r="17">
          <cell r="B17" t="str">
            <v>Net New ARR</v>
          </cell>
          <cell r="C17"/>
          <cell r="D17">
            <v>187.2</v>
          </cell>
          <cell r="E17">
            <v>171.26880000000003</v>
          </cell>
          <cell r="F17">
            <v>211.46449920000003</v>
          </cell>
          <cell r="G17">
            <v>220.71113391360001</v>
          </cell>
          <cell r="H17">
            <v>301.63742226754562</v>
          </cell>
          <cell r="I17">
            <v>283.18489959080739</v>
          </cell>
        </row>
        <row r="20">
          <cell r="B20" t="str">
            <v>Ending ARR</v>
          </cell>
          <cell r="C20">
            <v>4800</v>
          </cell>
          <cell r="D20">
            <v>4987.2</v>
          </cell>
          <cell r="E20">
            <v>5158.4687999999996</v>
          </cell>
          <cell r="F20">
            <v>5369.9332992</v>
          </cell>
          <cell r="G20">
            <v>5590.6444331135999</v>
          </cell>
          <cell r="H20">
            <v>5892.2818553811458</v>
          </cell>
          <cell r="I20">
            <v>6175.4667549719534</v>
          </cell>
        </row>
        <row r="22">
          <cell r="C22" t="str">
            <v>Dec</v>
          </cell>
          <cell r="D22" t="str">
            <v>Jan</v>
          </cell>
          <cell r="E22" t="str">
            <v>Feb</v>
          </cell>
          <cell r="F22" t="str">
            <v>Mar</v>
          </cell>
          <cell r="G22" t="str">
            <v>Apr</v>
          </cell>
          <cell r="H22" t="str">
            <v>May</v>
          </cell>
          <cell r="I22" t="str">
            <v>Jun</v>
          </cell>
        </row>
        <row r="24">
          <cell r="B24" t="str">
            <v># of new Customers</v>
          </cell>
          <cell r="D24">
            <v>40</v>
          </cell>
          <cell r="E24">
            <v>42</v>
          </cell>
          <cell r="F24">
            <v>43</v>
          </cell>
          <cell r="G24">
            <v>46</v>
          </cell>
          <cell r="H24">
            <v>48</v>
          </cell>
          <cell r="I24">
            <v>52</v>
          </cell>
        </row>
        <row r="28">
          <cell r="B28" t="str">
            <v>% Customer Churn</v>
          </cell>
          <cell r="D28">
            <v>3.0303030303030304E-2</v>
          </cell>
          <cell r="E28">
            <v>3.094059405940594E-2</v>
          </cell>
          <cell r="F28">
            <v>2.7878787878787878E-2</v>
          </cell>
          <cell r="G28">
            <v>2.9585798816568046E-2</v>
          </cell>
          <cell r="H28">
            <v>2.771362586605081E-2</v>
          </cell>
          <cell r="I28">
            <v>2.9213483146067417E-2</v>
          </cell>
        </row>
        <row r="29">
          <cell r="B29" t="str">
            <v>% ARR Churn</v>
          </cell>
          <cell r="D29">
            <v>2.1000000000000001E-2</v>
          </cell>
          <cell r="E29">
            <v>2.7E-2</v>
          </cell>
          <cell r="F29">
            <v>2.1000000000000001E-2</v>
          </cell>
          <cell r="G29">
            <v>0.02</v>
          </cell>
          <cell r="H29">
            <v>1.9E-2</v>
          </cell>
          <cell r="I29">
            <v>1.7999999999999999E-2</v>
          </cell>
        </row>
        <row r="30">
          <cell r="B30" t="str">
            <v>% ARR Expansion</v>
          </cell>
          <cell r="D30">
            <v>5.0000000000000001E-3</v>
          </cell>
          <cell r="E30">
            <v>6.0000000000000001E-3</v>
          </cell>
          <cell r="F30">
            <v>5.0000000000000001E-3</v>
          </cell>
          <cell r="G30">
            <v>3.0000000000000001E-3</v>
          </cell>
          <cell r="H30">
            <v>1.4999999999999999E-2</v>
          </cell>
          <cell r="I30">
            <v>7.0000000000000001E-3</v>
          </cell>
        </row>
        <row r="31">
          <cell r="B31" t="str">
            <v>% Net ARR Churn</v>
          </cell>
          <cell r="C31"/>
          <cell r="D31">
            <v>1.6000000000000004E-2</v>
          </cell>
          <cell r="E31">
            <v>2.0999999999999998E-2</v>
          </cell>
          <cell r="F31">
            <v>1.6E-2</v>
          </cell>
          <cell r="G31">
            <v>1.7000000000000001E-2</v>
          </cell>
          <cell r="H31">
            <v>3.9999999999999992E-3</v>
          </cell>
          <cell r="I31">
            <v>1.1000000000000001E-2</v>
          </cell>
        </row>
        <row r="36">
          <cell r="B36" t="str">
            <v>Customer Engagement Score</v>
          </cell>
          <cell r="D36">
            <v>121</v>
          </cell>
          <cell r="E36">
            <v>120</v>
          </cell>
          <cell r="F36">
            <v>125</v>
          </cell>
          <cell r="G36">
            <v>126</v>
          </cell>
          <cell r="H36">
            <v>130</v>
          </cell>
          <cell r="I36">
            <v>135</v>
          </cell>
        </row>
        <row r="37">
          <cell r="B37" t="str">
            <v>Net Promoter Score</v>
          </cell>
          <cell r="D37">
            <v>28</v>
          </cell>
          <cell r="E37">
            <v>27</v>
          </cell>
          <cell r="F37">
            <v>29</v>
          </cell>
          <cell r="G37">
            <v>32</v>
          </cell>
          <cell r="H37">
            <v>33</v>
          </cell>
          <cell r="I37">
            <v>35</v>
          </cell>
        </row>
        <row r="39">
          <cell r="C39" t="str">
            <v>Dec</v>
          </cell>
          <cell r="D39" t="str">
            <v>Jan</v>
          </cell>
          <cell r="E39" t="str">
            <v>Feb</v>
          </cell>
          <cell r="F39" t="str">
            <v>Mar</v>
          </cell>
          <cell r="G39" t="str">
            <v>Apr</v>
          </cell>
          <cell r="H39" t="str">
            <v>May</v>
          </cell>
          <cell r="I39" t="str">
            <v>Jun</v>
          </cell>
        </row>
        <row r="40">
          <cell r="B40" t="str">
            <v>LTV</v>
          </cell>
          <cell r="D40">
            <v>21738.095238095237</v>
          </cell>
          <cell r="E40">
            <v>16834.2151675485</v>
          </cell>
          <cell r="F40">
            <v>22519.379844961233</v>
          </cell>
          <cell r="G40">
            <v>23456.521739130432</v>
          </cell>
          <cell r="H40">
            <v>24572.368421052633</v>
          </cell>
          <cell r="I40">
            <v>25715.811965811969</v>
          </cell>
        </row>
        <row r="41">
          <cell r="B41" t="str">
            <v>CAC</v>
          </cell>
          <cell r="D41">
            <v>8750</v>
          </cell>
          <cell r="E41">
            <v>8571.4285714285706</v>
          </cell>
          <cell r="F41">
            <v>8604.6511627906966</v>
          </cell>
          <cell r="G41">
            <v>8260.8695652173901</v>
          </cell>
          <cell r="H41">
            <v>8125</v>
          </cell>
          <cell r="I41">
            <v>7692.3076923076924</v>
          </cell>
        </row>
        <row r="42">
          <cell r="B42" t="str">
            <v>LTV to CAC Ratio</v>
          </cell>
          <cell r="D42">
            <v>2.4843537414965984</v>
          </cell>
          <cell r="E42">
            <v>1.9639917695473252</v>
          </cell>
          <cell r="F42">
            <v>2.6171171171171168</v>
          </cell>
          <cell r="G42">
            <v>2.8394736842105264</v>
          </cell>
          <cell r="H42">
            <v>3.024291497975709</v>
          </cell>
          <cell r="I42">
            <v>3.3430555555555559</v>
          </cell>
        </row>
        <row r="43">
          <cell r="B43" t="str">
            <v>Months to Recover CAC</v>
          </cell>
          <cell r="D43">
            <v>19.167579408543265</v>
          </cell>
          <cell r="E43">
            <v>18.858040859088529</v>
          </cell>
          <cell r="F43">
            <v>18.195229899188593</v>
          </cell>
          <cell r="G43">
            <v>17.608897126969413</v>
          </cell>
          <cell r="H43">
            <v>17.402945113788487</v>
          </cell>
          <cell r="I43">
            <v>16.618196925633569</v>
          </cell>
        </row>
        <row r="69">
          <cell r="D69" t="str">
            <v>Jan</v>
          </cell>
          <cell r="E69" t="str">
            <v>Feb</v>
          </cell>
          <cell r="F69" t="str">
            <v>Mar</v>
          </cell>
          <cell r="G69" t="str">
            <v>Apr</v>
          </cell>
          <cell r="H69" t="str">
            <v>May</v>
          </cell>
          <cell r="I69" t="str">
            <v>Jun</v>
          </cell>
        </row>
        <row r="70">
          <cell r="B70" t="str">
            <v>Raw Leads / Enquiries</v>
          </cell>
          <cell r="D70">
            <v>3611</v>
          </cell>
          <cell r="E70">
            <v>3429</v>
          </cell>
          <cell r="F70">
            <v>5200</v>
          </cell>
          <cell r="G70">
            <v>5357</v>
          </cell>
          <cell r="H70">
            <v>4684</v>
          </cell>
          <cell r="I70">
            <v>4400</v>
          </cell>
        </row>
        <row r="71">
          <cell r="B71" t="str">
            <v>Conversion Raw Leads to MQLs</v>
          </cell>
          <cell r="D71">
            <v>1.7999999999999999E-2</v>
          </cell>
          <cell r="E71">
            <v>2.1000000000000001E-2</v>
          </cell>
          <cell r="F71">
            <v>1.4999999999999999E-2</v>
          </cell>
          <cell r="G71">
            <v>1.4E-2</v>
          </cell>
          <cell r="H71">
            <v>1.9E-2</v>
          </cell>
          <cell r="I71">
            <v>0.02</v>
          </cell>
        </row>
        <row r="72">
          <cell r="B72" t="str">
            <v>Opportunities</v>
          </cell>
          <cell r="D72">
            <v>65</v>
          </cell>
          <cell r="E72">
            <v>72</v>
          </cell>
          <cell r="F72">
            <v>78</v>
          </cell>
          <cell r="G72">
            <v>75</v>
          </cell>
          <cell r="H72">
            <v>89</v>
          </cell>
          <cell r="I72">
            <v>88</v>
          </cell>
        </row>
        <row r="73">
          <cell r="B73" t="str">
            <v>Conversion: Oppties to Win</v>
          </cell>
          <cell r="D73">
            <v>0.62</v>
          </cell>
          <cell r="E73">
            <v>0.57999999999999996</v>
          </cell>
          <cell r="F73">
            <v>0.55000000000000004</v>
          </cell>
          <cell r="G73">
            <v>0.61</v>
          </cell>
          <cell r="H73">
            <v>0.54</v>
          </cell>
          <cell r="I73">
            <v>0.59</v>
          </cell>
        </row>
        <row r="74">
          <cell r="B74" t="str">
            <v>Win/Losss ratio</v>
          </cell>
          <cell r="D74">
            <v>0.75</v>
          </cell>
          <cell r="E74">
            <v>0.82</v>
          </cell>
          <cell r="F74">
            <v>0.65</v>
          </cell>
          <cell r="G74">
            <v>0.79</v>
          </cell>
          <cell r="H74">
            <v>0.85</v>
          </cell>
          <cell r="I74">
            <v>0.78</v>
          </cell>
        </row>
        <row r="76">
          <cell r="D76" t="str">
            <v>Jan</v>
          </cell>
          <cell r="E76" t="str">
            <v>Feb</v>
          </cell>
          <cell r="F76" t="str">
            <v>Mar</v>
          </cell>
          <cell r="G76" t="str">
            <v>Apr</v>
          </cell>
          <cell r="H76" t="str">
            <v>May</v>
          </cell>
          <cell r="I76" t="str">
            <v>Jun</v>
          </cell>
        </row>
        <row r="77">
          <cell r="B77" t="str">
            <v xml:space="preserve">No of FTE Sales reps </v>
          </cell>
          <cell r="D77">
            <v>6</v>
          </cell>
          <cell r="E77">
            <v>6.5</v>
          </cell>
          <cell r="F77">
            <v>7</v>
          </cell>
          <cell r="G77">
            <v>7.5</v>
          </cell>
          <cell r="H77">
            <v>8</v>
          </cell>
          <cell r="I77">
            <v>8.5</v>
          </cell>
        </row>
        <row r="79">
          <cell r="B79" t="str">
            <v xml:space="preserve">Sales Capacity </v>
          </cell>
          <cell r="D79">
            <v>25</v>
          </cell>
          <cell r="E79">
            <v>27.083333333333336</v>
          </cell>
          <cell r="F79">
            <v>29.166666666666668</v>
          </cell>
          <cell r="G79">
            <v>31.250000000000004</v>
          </cell>
          <cell r="H79">
            <v>33.333333333333336</v>
          </cell>
          <cell r="I79">
            <v>35.416666666666671</v>
          </cell>
        </row>
        <row r="82">
          <cell r="B82" t="str">
            <v>Productivity per FTE sales rep</v>
          </cell>
          <cell r="D82">
            <v>44</v>
          </cell>
          <cell r="E82">
            <v>42.46153846153846</v>
          </cell>
          <cell r="F82">
            <v>42</v>
          </cell>
          <cell r="G82">
            <v>41.6</v>
          </cell>
          <cell r="H82">
            <v>40.5</v>
          </cell>
          <cell r="I82">
            <v>40.941176470588232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ontrol" Target="../activeX/activeX6.xml"/><Relationship Id="rId18" Type="http://schemas.openxmlformats.org/officeDocument/2006/relationships/image" Target="../media/image7.emf"/><Relationship Id="rId3" Type="http://schemas.openxmlformats.org/officeDocument/2006/relationships/vmlDrawing" Target="../drawings/vmlDrawing1.vml"/><Relationship Id="rId21" Type="http://schemas.openxmlformats.org/officeDocument/2006/relationships/control" Target="../activeX/activeX10.xml"/><Relationship Id="rId7" Type="http://schemas.openxmlformats.org/officeDocument/2006/relationships/image" Target="../media/image2.emf"/><Relationship Id="rId12" Type="http://schemas.openxmlformats.org/officeDocument/2006/relationships/image" Target="../media/image4.emf"/><Relationship Id="rId17" Type="http://schemas.openxmlformats.org/officeDocument/2006/relationships/control" Target="../activeX/activeX8.xml"/><Relationship Id="rId25" Type="http://schemas.openxmlformats.org/officeDocument/2006/relationships/image" Target="../media/image10.emf"/><Relationship Id="rId2" Type="http://schemas.openxmlformats.org/officeDocument/2006/relationships/drawing" Target="../drawings/drawing1.xml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5.xml"/><Relationship Id="rId24" Type="http://schemas.openxmlformats.org/officeDocument/2006/relationships/control" Target="../activeX/activeX12.xml"/><Relationship Id="rId5" Type="http://schemas.openxmlformats.org/officeDocument/2006/relationships/image" Target="../media/image1.emf"/><Relationship Id="rId15" Type="http://schemas.openxmlformats.org/officeDocument/2006/relationships/control" Target="../activeX/activeX7.xml"/><Relationship Id="rId23" Type="http://schemas.openxmlformats.org/officeDocument/2006/relationships/image" Target="../media/image9.emf"/><Relationship Id="rId10" Type="http://schemas.openxmlformats.org/officeDocument/2006/relationships/control" Target="../activeX/activeX4.xml"/><Relationship Id="rId19" Type="http://schemas.openxmlformats.org/officeDocument/2006/relationships/control" Target="../activeX/activeX9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image" Target="../media/image5.emf"/><Relationship Id="rId22" Type="http://schemas.openxmlformats.org/officeDocument/2006/relationships/control" Target="../activeX/activeX1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ontrol" Target="../activeX/activeX18.xml"/><Relationship Id="rId18" Type="http://schemas.openxmlformats.org/officeDocument/2006/relationships/image" Target="../media/image14.emf"/><Relationship Id="rId26" Type="http://schemas.openxmlformats.org/officeDocument/2006/relationships/image" Target="../media/image18.emf"/><Relationship Id="rId3" Type="http://schemas.openxmlformats.org/officeDocument/2006/relationships/vmlDrawing" Target="../drawings/vmlDrawing2.vml"/><Relationship Id="rId21" Type="http://schemas.openxmlformats.org/officeDocument/2006/relationships/control" Target="../activeX/activeX22.xml"/><Relationship Id="rId7" Type="http://schemas.openxmlformats.org/officeDocument/2006/relationships/image" Target="../media/image12.emf"/><Relationship Id="rId12" Type="http://schemas.openxmlformats.org/officeDocument/2006/relationships/control" Target="../activeX/activeX17.xml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drawing" Target="../drawings/drawing2.xml"/><Relationship Id="rId16" Type="http://schemas.openxmlformats.org/officeDocument/2006/relationships/image" Target="../media/image13.emf"/><Relationship Id="rId20" Type="http://schemas.openxmlformats.org/officeDocument/2006/relationships/image" Target="../media/image15.emf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4.xml"/><Relationship Id="rId11" Type="http://schemas.openxmlformats.org/officeDocument/2006/relationships/image" Target="../media/image3.emf"/><Relationship Id="rId24" Type="http://schemas.openxmlformats.org/officeDocument/2006/relationships/image" Target="../media/image17.emf"/><Relationship Id="rId5" Type="http://schemas.openxmlformats.org/officeDocument/2006/relationships/image" Target="../media/image11.emf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control" Target="../activeX/activeX16.xml"/><Relationship Id="rId19" Type="http://schemas.openxmlformats.org/officeDocument/2006/relationships/control" Target="../activeX/activeX21.xml"/><Relationship Id="rId4" Type="http://schemas.openxmlformats.org/officeDocument/2006/relationships/control" Target="../activeX/activeX13.xml"/><Relationship Id="rId9" Type="http://schemas.openxmlformats.org/officeDocument/2006/relationships/image" Target="../media/image2.emf"/><Relationship Id="rId14" Type="http://schemas.openxmlformats.org/officeDocument/2006/relationships/image" Target="../media/image4.emf"/><Relationship Id="rId22" Type="http://schemas.openxmlformats.org/officeDocument/2006/relationships/image" Target="../media/image16.emf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9.emf"/><Relationship Id="rId4" Type="http://schemas.openxmlformats.org/officeDocument/2006/relationships/control" Target="../activeX/activeX25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.xml"/><Relationship Id="rId13" Type="http://schemas.openxmlformats.org/officeDocument/2006/relationships/control" Target="../activeX/activeX31.xml"/><Relationship Id="rId18" Type="http://schemas.openxmlformats.org/officeDocument/2006/relationships/image" Target="../media/image26.emf"/><Relationship Id="rId3" Type="http://schemas.openxmlformats.org/officeDocument/2006/relationships/vmlDrawing" Target="../drawings/vmlDrawing4.vml"/><Relationship Id="rId7" Type="http://schemas.openxmlformats.org/officeDocument/2006/relationships/image" Target="../media/image21.emf"/><Relationship Id="rId12" Type="http://schemas.openxmlformats.org/officeDocument/2006/relationships/image" Target="../media/image23.emf"/><Relationship Id="rId17" Type="http://schemas.openxmlformats.org/officeDocument/2006/relationships/control" Target="../activeX/activeX33.xml"/><Relationship Id="rId2" Type="http://schemas.openxmlformats.org/officeDocument/2006/relationships/drawing" Target="../drawings/drawing30.xml"/><Relationship Id="rId16" Type="http://schemas.openxmlformats.org/officeDocument/2006/relationships/image" Target="../media/image25.emf"/><Relationship Id="rId20" Type="http://schemas.openxmlformats.org/officeDocument/2006/relationships/image" Target="../media/image27.emf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7.xml"/><Relationship Id="rId11" Type="http://schemas.openxmlformats.org/officeDocument/2006/relationships/control" Target="../activeX/activeX30.xml"/><Relationship Id="rId5" Type="http://schemas.openxmlformats.org/officeDocument/2006/relationships/image" Target="../media/image20.emf"/><Relationship Id="rId15" Type="http://schemas.openxmlformats.org/officeDocument/2006/relationships/control" Target="../activeX/activeX32.xml"/><Relationship Id="rId10" Type="http://schemas.openxmlformats.org/officeDocument/2006/relationships/image" Target="../media/image22.emf"/><Relationship Id="rId19" Type="http://schemas.openxmlformats.org/officeDocument/2006/relationships/control" Target="../activeX/activeX34.xml"/><Relationship Id="rId4" Type="http://schemas.openxmlformats.org/officeDocument/2006/relationships/control" Target="../activeX/activeX26.xml"/><Relationship Id="rId9" Type="http://schemas.openxmlformats.org/officeDocument/2006/relationships/control" Target="../activeX/activeX29.xml"/><Relationship Id="rId14" Type="http://schemas.openxmlformats.org/officeDocument/2006/relationships/image" Target="../media/image24.emf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control" Target="../activeX/activeX40.xml"/><Relationship Id="rId18" Type="http://schemas.openxmlformats.org/officeDocument/2006/relationships/image" Target="../media/image26.emf"/><Relationship Id="rId3" Type="http://schemas.openxmlformats.org/officeDocument/2006/relationships/vmlDrawing" Target="../drawings/vmlDrawing5.vml"/><Relationship Id="rId7" Type="http://schemas.openxmlformats.org/officeDocument/2006/relationships/image" Target="../media/image21.emf"/><Relationship Id="rId12" Type="http://schemas.openxmlformats.org/officeDocument/2006/relationships/image" Target="../media/image23.emf"/><Relationship Id="rId17" Type="http://schemas.openxmlformats.org/officeDocument/2006/relationships/control" Target="../activeX/activeX42.xml"/><Relationship Id="rId2" Type="http://schemas.openxmlformats.org/officeDocument/2006/relationships/drawing" Target="../drawings/drawing31.xml"/><Relationship Id="rId16" Type="http://schemas.openxmlformats.org/officeDocument/2006/relationships/image" Target="../media/image25.emf"/><Relationship Id="rId20" Type="http://schemas.openxmlformats.org/officeDocument/2006/relationships/image" Target="../media/image27.emf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36.xml"/><Relationship Id="rId11" Type="http://schemas.openxmlformats.org/officeDocument/2006/relationships/control" Target="../activeX/activeX39.xml"/><Relationship Id="rId5" Type="http://schemas.openxmlformats.org/officeDocument/2006/relationships/image" Target="../media/image20.emf"/><Relationship Id="rId15" Type="http://schemas.openxmlformats.org/officeDocument/2006/relationships/control" Target="../activeX/activeX41.xml"/><Relationship Id="rId10" Type="http://schemas.openxmlformats.org/officeDocument/2006/relationships/image" Target="../media/image22.emf"/><Relationship Id="rId19" Type="http://schemas.openxmlformats.org/officeDocument/2006/relationships/control" Target="../activeX/activeX43.xml"/><Relationship Id="rId4" Type="http://schemas.openxmlformats.org/officeDocument/2006/relationships/control" Target="../activeX/activeX35.xml"/><Relationship Id="rId9" Type="http://schemas.openxmlformats.org/officeDocument/2006/relationships/control" Target="../activeX/activeX38.xml"/><Relationship Id="rId14" Type="http://schemas.openxmlformats.org/officeDocument/2006/relationships/image" Target="../media/image24.emf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6.xml"/><Relationship Id="rId13" Type="http://schemas.openxmlformats.org/officeDocument/2006/relationships/control" Target="../activeX/activeX49.xml"/><Relationship Id="rId18" Type="http://schemas.openxmlformats.org/officeDocument/2006/relationships/image" Target="../media/image26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21.emf"/><Relationship Id="rId12" Type="http://schemas.openxmlformats.org/officeDocument/2006/relationships/image" Target="../media/image23.emf"/><Relationship Id="rId17" Type="http://schemas.openxmlformats.org/officeDocument/2006/relationships/control" Target="../activeX/activeX51.xml"/><Relationship Id="rId2" Type="http://schemas.openxmlformats.org/officeDocument/2006/relationships/drawing" Target="../drawings/drawing32.xml"/><Relationship Id="rId16" Type="http://schemas.openxmlformats.org/officeDocument/2006/relationships/image" Target="../media/image25.emf"/><Relationship Id="rId20" Type="http://schemas.openxmlformats.org/officeDocument/2006/relationships/image" Target="../media/image27.emf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45.xml"/><Relationship Id="rId11" Type="http://schemas.openxmlformats.org/officeDocument/2006/relationships/control" Target="../activeX/activeX48.xml"/><Relationship Id="rId5" Type="http://schemas.openxmlformats.org/officeDocument/2006/relationships/image" Target="../media/image20.emf"/><Relationship Id="rId15" Type="http://schemas.openxmlformats.org/officeDocument/2006/relationships/control" Target="../activeX/activeX50.xml"/><Relationship Id="rId10" Type="http://schemas.openxmlformats.org/officeDocument/2006/relationships/image" Target="../media/image22.emf"/><Relationship Id="rId19" Type="http://schemas.openxmlformats.org/officeDocument/2006/relationships/control" Target="../activeX/activeX52.xml"/><Relationship Id="rId4" Type="http://schemas.openxmlformats.org/officeDocument/2006/relationships/control" Target="../activeX/activeX44.xml"/><Relationship Id="rId9" Type="http://schemas.openxmlformats.org/officeDocument/2006/relationships/control" Target="../activeX/activeX47.xml"/><Relationship Id="rId14" Type="http://schemas.openxmlformats.org/officeDocument/2006/relationships/image" Target="../media/image24.emf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5.xml"/><Relationship Id="rId13" Type="http://schemas.openxmlformats.org/officeDocument/2006/relationships/control" Target="../activeX/activeX58.xml"/><Relationship Id="rId18" Type="http://schemas.openxmlformats.org/officeDocument/2006/relationships/image" Target="../media/image26.emf"/><Relationship Id="rId3" Type="http://schemas.openxmlformats.org/officeDocument/2006/relationships/vmlDrawing" Target="../drawings/vmlDrawing7.vml"/><Relationship Id="rId7" Type="http://schemas.openxmlformats.org/officeDocument/2006/relationships/image" Target="../media/image21.emf"/><Relationship Id="rId12" Type="http://schemas.openxmlformats.org/officeDocument/2006/relationships/image" Target="../media/image23.emf"/><Relationship Id="rId17" Type="http://schemas.openxmlformats.org/officeDocument/2006/relationships/control" Target="../activeX/activeX60.xml"/><Relationship Id="rId2" Type="http://schemas.openxmlformats.org/officeDocument/2006/relationships/drawing" Target="../drawings/drawing33.xml"/><Relationship Id="rId16" Type="http://schemas.openxmlformats.org/officeDocument/2006/relationships/image" Target="../media/image25.emf"/><Relationship Id="rId20" Type="http://schemas.openxmlformats.org/officeDocument/2006/relationships/image" Target="../media/image27.emf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54.xml"/><Relationship Id="rId11" Type="http://schemas.openxmlformats.org/officeDocument/2006/relationships/control" Target="../activeX/activeX57.xml"/><Relationship Id="rId5" Type="http://schemas.openxmlformats.org/officeDocument/2006/relationships/image" Target="../media/image20.emf"/><Relationship Id="rId15" Type="http://schemas.openxmlformats.org/officeDocument/2006/relationships/control" Target="../activeX/activeX59.xml"/><Relationship Id="rId10" Type="http://schemas.openxmlformats.org/officeDocument/2006/relationships/image" Target="../media/image22.emf"/><Relationship Id="rId19" Type="http://schemas.openxmlformats.org/officeDocument/2006/relationships/control" Target="../activeX/activeX61.xml"/><Relationship Id="rId4" Type="http://schemas.openxmlformats.org/officeDocument/2006/relationships/control" Target="../activeX/activeX53.xml"/><Relationship Id="rId9" Type="http://schemas.openxmlformats.org/officeDocument/2006/relationships/control" Target="../activeX/activeX56.xml"/><Relationship Id="rId14" Type="http://schemas.openxmlformats.org/officeDocument/2006/relationships/image" Target="../media/image24.emf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saas-capital.com/blog-posts/2020-growth-benchmarks-for-private-saas-companies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hyperlink" Target="http://www.forentrepreneurs.com/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hyperlink" Target="http://www.forentrepreneurs.com/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J5:AU62"/>
  <sheetViews>
    <sheetView tabSelected="1" zoomScale="70" zoomScaleNormal="70" workbookViewId="0">
      <selection activeCell="K36" sqref="K36:L38"/>
    </sheetView>
  </sheetViews>
  <sheetFormatPr defaultColWidth="9.140625" defaultRowHeight="15" x14ac:dyDescent="0.25"/>
  <cols>
    <col min="1" max="9" width="9.140625" style="281"/>
    <col min="10" max="10" width="4" style="281" customWidth="1"/>
    <col min="11" max="11" width="9.140625" style="281"/>
    <col min="12" max="12" width="13.28515625" style="281" customWidth="1"/>
    <col min="13" max="13" width="10.140625" style="281" bestFit="1" customWidth="1"/>
    <col min="14" max="14" width="9.140625" style="281"/>
    <col min="15" max="15" width="10.140625" style="281" bestFit="1" customWidth="1"/>
    <col min="16" max="16" width="10.140625" style="281" customWidth="1"/>
    <col min="17" max="17" width="5" style="281" customWidth="1"/>
    <col min="18" max="18" width="12.140625" style="281" bestFit="1" customWidth="1"/>
    <col min="19" max="19" width="9.140625" style="281"/>
    <col min="20" max="20" width="17.5703125" style="281" customWidth="1"/>
    <col min="21" max="21" width="3.5703125" style="281" customWidth="1"/>
    <col min="22" max="22" width="11.85546875" style="281" customWidth="1"/>
    <col min="23" max="23" width="3.42578125" style="281" customWidth="1"/>
    <col min="24" max="24" width="1.85546875" style="281" customWidth="1"/>
    <col min="25" max="25" width="9.140625" style="281"/>
    <col min="26" max="26" width="8.5703125" style="281" customWidth="1"/>
    <col min="27" max="27" width="6" style="281" customWidth="1"/>
    <col min="28" max="28" width="8" style="281" customWidth="1"/>
    <col min="29" max="29" width="3.140625" style="281" customWidth="1"/>
    <col min="30" max="30" width="2" style="281" customWidth="1"/>
    <col min="31" max="32" width="9.140625" style="281"/>
    <col min="33" max="33" width="3.140625" style="281" customWidth="1"/>
    <col min="34" max="34" width="4.85546875" style="281" customWidth="1"/>
    <col min="35" max="40" width="9.140625" style="281"/>
    <col min="41" max="41" width="4.5703125" style="281" customWidth="1"/>
    <col min="42" max="16384" width="9.140625" style="281"/>
  </cols>
  <sheetData>
    <row r="5" spans="10:26" x14ac:dyDescent="0.25">
      <c r="M5" s="283"/>
    </row>
    <row r="7" spans="10:26" x14ac:dyDescent="0.25">
      <c r="M7" s="285"/>
    </row>
    <row r="9" spans="10:26" x14ac:dyDescent="0.25">
      <c r="R9" s="286">
        <v>4000</v>
      </c>
    </row>
    <row r="10" spans="10:26" ht="15" customHeight="1" x14ac:dyDescent="0.25">
      <c r="J10" s="286">
        <v>2000000</v>
      </c>
      <c r="K10" s="413">
        <f>J29</f>
        <v>20000000</v>
      </c>
      <c r="L10" s="414"/>
      <c r="R10" s="419">
        <f>R9</f>
        <v>4000</v>
      </c>
      <c r="S10" s="420"/>
      <c r="T10" s="423">
        <f>U10</f>
        <v>30</v>
      </c>
      <c r="U10" s="370">
        <v>30</v>
      </c>
      <c r="V10" s="425">
        <f>T10*12</f>
        <v>360</v>
      </c>
      <c r="W10" s="426"/>
      <c r="X10" s="373"/>
      <c r="Y10" s="425">
        <f>V10*R10</f>
        <v>1440000</v>
      </c>
      <c r="Z10" s="426"/>
    </row>
    <row r="11" spans="10:26" ht="15" customHeight="1" x14ac:dyDescent="0.25">
      <c r="K11" s="415"/>
      <c r="L11" s="416"/>
      <c r="R11" s="421"/>
      <c r="S11" s="422"/>
      <c r="T11" s="424"/>
      <c r="U11" s="371"/>
      <c r="V11" s="427"/>
      <c r="W11" s="428"/>
      <c r="X11" s="373"/>
      <c r="Y11" s="427"/>
      <c r="Z11" s="428"/>
    </row>
    <row r="12" spans="10:26" ht="18" x14ac:dyDescent="0.25">
      <c r="K12" s="417"/>
      <c r="L12" s="418"/>
      <c r="R12" s="371"/>
      <c r="S12" s="371"/>
      <c r="T12" s="371"/>
      <c r="U12" s="371"/>
      <c r="V12" s="373"/>
      <c r="W12" s="373"/>
      <c r="X12" s="373"/>
      <c r="Y12" s="373"/>
      <c r="Z12" s="373"/>
    </row>
    <row r="13" spans="10:26" ht="18" x14ac:dyDescent="0.25">
      <c r="K13" s="369"/>
      <c r="L13" s="369"/>
      <c r="R13" s="371"/>
      <c r="S13" s="371"/>
      <c r="T13" s="370">
        <v>17000</v>
      </c>
      <c r="U13" s="370"/>
      <c r="V13" s="374"/>
      <c r="W13" s="373"/>
      <c r="X13" s="373"/>
      <c r="Y13" s="373"/>
      <c r="Z13" s="373"/>
    </row>
    <row r="14" spans="10:26" ht="14.45" customHeight="1" x14ac:dyDescent="0.25">
      <c r="K14" s="369"/>
      <c r="L14" s="369"/>
      <c r="R14" s="419">
        <f>T13</f>
        <v>17000</v>
      </c>
      <c r="S14" s="420"/>
      <c r="T14" s="423">
        <f>U14</f>
        <v>30</v>
      </c>
      <c r="U14" s="372">
        <v>30</v>
      </c>
      <c r="V14" s="425">
        <f>T14*12</f>
        <v>360</v>
      </c>
      <c r="W14" s="426"/>
      <c r="X14" s="373"/>
      <c r="Y14" s="425">
        <f>V14*R14</f>
        <v>6120000</v>
      </c>
      <c r="Z14" s="426"/>
    </row>
    <row r="15" spans="10:26" ht="14.45" customHeight="1" x14ac:dyDescent="0.25">
      <c r="K15" s="369"/>
      <c r="L15" s="369"/>
      <c r="R15" s="421"/>
      <c r="S15" s="422"/>
      <c r="T15" s="424"/>
      <c r="U15" s="372"/>
      <c r="V15" s="427"/>
      <c r="W15" s="428"/>
      <c r="X15" s="373"/>
      <c r="Y15" s="427"/>
      <c r="Z15" s="428"/>
    </row>
    <row r="16" spans="10:26" ht="14.45" customHeight="1" x14ac:dyDescent="0.25">
      <c r="K16" s="409">
        <f>J10</f>
        <v>2000000</v>
      </c>
      <c r="L16" s="410"/>
      <c r="R16" s="371"/>
      <c r="S16" s="371"/>
      <c r="T16" s="370"/>
      <c r="U16" s="370"/>
      <c r="V16" s="374"/>
      <c r="W16" s="373"/>
      <c r="X16" s="373"/>
      <c r="Y16" s="373"/>
      <c r="Z16" s="373"/>
    </row>
    <row r="17" spans="10:47" ht="18" x14ac:dyDescent="0.25">
      <c r="K17" s="411"/>
      <c r="L17" s="412"/>
      <c r="R17" s="371"/>
      <c r="S17" s="371"/>
      <c r="T17" s="370">
        <v>32000</v>
      </c>
      <c r="U17" s="370">
        <v>1</v>
      </c>
      <c r="V17" s="374"/>
      <c r="W17" s="373"/>
      <c r="X17" s="373"/>
      <c r="Y17" s="373"/>
      <c r="Z17" s="373"/>
    </row>
    <row r="18" spans="10:47" ht="14.45" customHeight="1" x14ac:dyDescent="0.25">
      <c r="K18" s="369"/>
      <c r="L18" s="369"/>
      <c r="R18" s="419">
        <f>T17</f>
        <v>32000</v>
      </c>
      <c r="S18" s="420"/>
      <c r="T18" s="423">
        <f>U18</f>
        <v>30</v>
      </c>
      <c r="U18" s="370">
        <v>30</v>
      </c>
      <c r="V18" s="425">
        <f>T18*12</f>
        <v>360</v>
      </c>
      <c r="W18" s="426"/>
      <c r="X18" s="373"/>
      <c r="Y18" s="571">
        <f>R18*V18</f>
        <v>11520000</v>
      </c>
      <c r="Z18" s="572"/>
    </row>
    <row r="19" spans="10:47" ht="14.45" customHeight="1" x14ac:dyDescent="0.25">
      <c r="K19" s="369"/>
      <c r="L19" s="369"/>
      <c r="R19" s="421"/>
      <c r="S19" s="422"/>
      <c r="T19" s="424"/>
      <c r="U19" s="370"/>
      <c r="V19" s="427"/>
      <c r="W19" s="428"/>
      <c r="X19" s="373"/>
      <c r="Y19" s="573"/>
      <c r="Z19" s="574"/>
    </row>
    <row r="20" spans="10:47" ht="14.45" customHeight="1" x14ac:dyDescent="0.25">
      <c r="K20" s="369"/>
      <c r="L20" s="369"/>
      <c r="U20" s="286"/>
      <c r="V20" s="286"/>
    </row>
    <row r="21" spans="10:47" ht="14.45" customHeight="1" x14ac:dyDescent="0.25">
      <c r="K21" s="413">
        <f>K10+K16</f>
        <v>22000000</v>
      </c>
      <c r="L21" s="414"/>
      <c r="T21" s="286">
        <v>64000</v>
      </c>
      <c r="U21" s="286"/>
      <c r="V21" s="286"/>
    </row>
    <row r="22" spans="10:47" ht="14.45" customHeight="1" x14ac:dyDescent="0.25">
      <c r="K22" s="415"/>
      <c r="L22" s="416"/>
      <c r="R22" s="419">
        <f>T21</f>
        <v>64000</v>
      </c>
      <c r="S22" s="420"/>
      <c r="T22" s="423">
        <f>U22</f>
        <v>30</v>
      </c>
      <c r="U22" s="286">
        <v>30</v>
      </c>
      <c r="V22" s="425">
        <f>T22*12</f>
        <v>360</v>
      </c>
      <c r="W22" s="426"/>
      <c r="Y22" s="383">
        <f>R22*V22</f>
        <v>23040000</v>
      </c>
      <c r="Z22" s="384"/>
      <c r="AA22" s="385"/>
    </row>
    <row r="23" spans="10:47" ht="14.45" customHeight="1" x14ac:dyDescent="0.25">
      <c r="K23" s="417"/>
      <c r="L23" s="418"/>
      <c r="R23" s="421"/>
      <c r="S23" s="422"/>
      <c r="T23" s="424"/>
      <c r="U23" s="286"/>
      <c r="V23" s="427"/>
      <c r="W23" s="428"/>
      <c r="Y23" s="386"/>
      <c r="Z23" s="387"/>
      <c r="AA23" s="388"/>
    </row>
    <row r="24" spans="10:47" ht="14.45" customHeight="1" x14ac:dyDescent="0.25">
      <c r="T24" s="286"/>
      <c r="U24" s="286"/>
      <c r="V24" s="286"/>
      <c r="Y24" s="389"/>
      <c r="Z24" s="390"/>
      <c r="AA24" s="391"/>
    </row>
    <row r="25" spans="10:47" x14ac:dyDescent="0.25">
      <c r="T25" s="286"/>
      <c r="U25" s="286"/>
      <c r="V25" s="286"/>
    </row>
    <row r="26" spans="10:47" ht="14.45" customHeight="1" x14ac:dyDescent="0.25">
      <c r="K26" s="392">
        <f>K16/K21</f>
        <v>9.0909090909090912E-2</v>
      </c>
      <c r="L26" s="393"/>
      <c r="T26" s="286"/>
      <c r="U26" s="286"/>
      <c r="V26" s="286"/>
    </row>
    <row r="27" spans="10:47" ht="14.45" customHeight="1" x14ac:dyDescent="0.25">
      <c r="K27" s="394"/>
      <c r="L27" s="395"/>
      <c r="T27" s="286"/>
      <c r="U27" s="286"/>
      <c r="V27" s="286"/>
    </row>
    <row r="28" spans="10:47" ht="14.45" customHeight="1" x14ac:dyDescent="0.25">
      <c r="K28" s="396"/>
      <c r="L28" s="397"/>
      <c r="T28" s="286"/>
      <c r="U28" s="286"/>
      <c r="V28" s="286"/>
    </row>
    <row r="29" spans="10:47" x14ac:dyDescent="0.25">
      <c r="J29" s="286">
        <v>20000000</v>
      </c>
    </row>
    <row r="30" spans="10:47" ht="15" customHeight="1" x14ac:dyDescent="0.25">
      <c r="T30" s="286">
        <v>79</v>
      </c>
      <c r="AT30" s="399" t="e">
        <f>AP14/AI21</f>
        <v>#DIV/0!</v>
      </c>
      <c r="AU30" s="400"/>
    </row>
    <row r="31" spans="10:47" ht="15" customHeight="1" x14ac:dyDescent="0.25">
      <c r="J31" s="286">
        <v>100</v>
      </c>
      <c r="K31" s="429">
        <f>J31/10</f>
        <v>10</v>
      </c>
      <c r="L31" s="430"/>
      <c r="R31" s="286">
        <v>96</v>
      </c>
      <c r="S31" s="405">
        <f>R31/10</f>
        <v>9.6</v>
      </c>
      <c r="T31" s="406"/>
      <c r="AT31" s="401"/>
      <c r="AU31" s="402"/>
    </row>
    <row r="32" spans="10:47" ht="14.45" customHeight="1" x14ac:dyDescent="0.25">
      <c r="K32" s="431"/>
      <c r="L32" s="432"/>
      <c r="S32" s="407"/>
      <c r="T32" s="408"/>
      <c r="AT32" s="403"/>
      <c r="AU32" s="404"/>
    </row>
    <row r="33" spans="11:32" ht="21" customHeight="1" x14ac:dyDescent="0.25"/>
    <row r="34" spans="11:32" ht="15" customHeight="1" x14ac:dyDescent="0.25"/>
    <row r="35" spans="11:32" ht="20.45" customHeight="1" x14ac:dyDescent="0.25"/>
    <row r="36" spans="11:32" ht="18.600000000000001" customHeight="1" x14ac:dyDescent="0.25">
      <c r="K36" s="575">
        <f>K16*K31</f>
        <v>20000000</v>
      </c>
      <c r="L36" s="576"/>
      <c r="S36" s="565">
        <f>Y22*S31</f>
        <v>221184000</v>
      </c>
      <c r="T36" s="566"/>
      <c r="W36" s="398" t="s">
        <v>589</v>
      </c>
      <c r="X36" s="398"/>
      <c r="Y36" s="398"/>
    </row>
    <row r="37" spans="11:32" ht="15" customHeight="1" x14ac:dyDescent="0.25">
      <c r="K37" s="577"/>
      <c r="L37" s="578"/>
      <c r="S37" s="567"/>
      <c r="T37" s="568"/>
      <c r="AC37" s="376"/>
      <c r="AD37" s="376"/>
      <c r="AE37" s="376"/>
      <c r="AF37" s="376"/>
    </row>
    <row r="38" spans="11:32" ht="15" customHeight="1" x14ac:dyDescent="0.25">
      <c r="K38" s="579"/>
      <c r="L38" s="580"/>
      <c r="S38" s="569"/>
      <c r="T38" s="570"/>
      <c r="AC38" s="376"/>
      <c r="AD38" s="376"/>
      <c r="AE38" s="376"/>
      <c r="AF38" s="376"/>
    </row>
    <row r="39" spans="11:32" ht="15" customHeight="1" x14ac:dyDescent="0.25">
      <c r="AC39" s="376"/>
      <c r="AD39" s="376"/>
      <c r="AE39" s="376"/>
      <c r="AF39" s="376"/>
    </row>
    <row r="40" spans="11:32" ht="14.45" customHeight="1" x14ac:dyDescent="0.25"/>
    <row r="41" spans="11:32" ht="14.45" customHeight="1" x14ac:dyDescent="0.25">
      <c r="K41" s="1">
        <f>S41-K36</f>
        <v>107636.3636363633</v>
      </c>
      <c r="L41" s="375"/>
      <c r="M41" s="375"/>
      <c r="S41" s="377">
        <f>S36*K26</f>
        <v>20107636.363636363</v>
      </c>
      <c r="T41" s="378"/>
      <c r="U41" s="376"/>
      <c r="V41" s="376"/>
      <c r="W41" s="376"/>
      <c r="X41" s="376"/>
    </row>
    <row r="42" spans="11:32" ht="14.45" customHeight="1" x14ac:dyDescent="0.25">
      <c r="K42" s="1"/>
      <c r="L42" s="375"/>
      <c r="M42" s="375"/>
      <c r="S42" s="379"/>
      <c r="T42" s="380"/>
      <c r="U42" s="376"/>
      <c r="V42" s="376"/>
      <c r="W42" s="376"/>
      <c r="X42" s="376"/>
    </row>
    <row r="43" spans="11:32" ht="14.45" customHeight="1" x14ac:dyDescent="0.25">
      <c r="K43" s="1"/>
      <c r="L43" s="375"/>
      <c r="M43" s="375"/>
      <c r="S43" s="381"/>
      <c r="T43" s="382"/>
      <c r="U43" s="376"/>
      <c r="V43" s="376"/>
      <c r="W43" s="376"/>
      <c r="X43" s="376"/>
    </row>
    <row r="44" spans="11:32" ht="14.45" customHeight="1" x14ac:dyDescent="0.25"/>
    <row r="45" spans="11:32" ht="14.45" customHeight="1" x14ac:dyDescent="0.25"/>
    <row r="46" spans="11:32" ht="14.45" customHeight="1" x14ac:dyDescent="0.25"/>
    <row r="47" spans="11:32" x14ac:dyDescent="0.25">
      <c r="R47" s="376"/>
      <c r="S47" s="376"/>
      <c r="T47" s="376"/>
      <c r="U47" s="376"/>
    </row>
    <row r="48" spans="11:32" ht="14.45" customHeight="1" x14ac:dyDescent="0.25">
      <c r="R48" s="376"/>
      <c r="S48" s="376"/>
      <c r="T48" s="376"/>
      <c r="U48" s="376"/>
    </row>
    <row r="49" spans="18:21" ht="14.45" customHeight="1" x14ac:dyDescent="0.25">
      <c r="R49" s="376"/>
      <c r="S49" s="376"/>
      <c r="T49" s="376"/>
      <c r="U49" s="376"/>
    </row>
    <row r="50" spans="18:21" ht="14.45" customHeight="1" x14ac:dyDescent="0.25"/>
    <row r="52" spans="18:21" ht="15" customHeight="1" x14ac:dyDescent="0.25"/>
    <row r="53" spans="18:21" ht="15" customHeight="1" x14ac:dyDescent="0.25"/>
    <row r="54" spans="18:21" ht="15" customHeight="1" x14ac:dyDescent="0.25"/>
    <row r="56" spans="18:21" ht="14.45" customHeight="1" x14ac:dyDescent="0.25"/>
    <row r="57" spans="18:21" ht="14.45" customHeight="1" x14ac:dyDescent="0.25"/>
    <row r="58" spans="18:21" ht="14.45" customHeight="1" x14ac:dyDescent="0.25"/>
    <row r="60" spans="18:21" ht="14.45" customHeight="1" x14ac:dyDescent="0.25"/>
    <row r="61" spans="18:21" ht="14.45" customHeight="1" x14ac:dyDescent="0.25"/>
    <row r="62" spans="18:21" ht="14.45" customHeight="1" x14ac:dyDescent="0.25"/>
  </sheetData>
  <mergeCells count="31">
    <mergeCell ref="Y14:Z15"/>
    <mergeCell ref="R10:S11"/>
    <mergeCell ref="T10:T11"/>
    <mergeCell ref="V10:W11"/>
    <mergeCell ref="Y10:Z11"/>
    <mergeCell ref="AT30:AU32"/>
    <mergeCell ref="S31:T32"/>
    <mergeCell ref="K16:L17"/>
    <mergeCell ref="K21:L23"/>
    <mergeCell ref="K10:L12"/>
    <mergeCell ref="R22:S23"/>
    <mergeCell ref="T22:T23"/>
    <mergeCell ref="V22:W23"/>
    <mergeCell ref="K31:L32"/>
    <mergeCell ref="R18:S19"/>
    <mergeCell ref="T18:T19"/>
    <mergeCell ref="V18:W19"/>
    <mergeCell ref="Y18:Z19"/>
    <mergeCell ref="R14:S15"/>
    <mergeCell ref="T14:T15"/>
    <mergeCell ref="V14:W15"/>
    <mergeCell ref="Y22:AA24"/>
    <mergeCell ref="K26:L28"/>
    <mergeCell ref="K36:L38"/>
    <mergeCell ref="S36:T38"/>
    <mergeCell ref="W36:Y36"/>
    <mergeCell ref="K41:M43"/>
    <mergeCell ref="R47:U49"/>
    <mergeCell ref="U41:X43"/>
    <mergeCell ref="S41:T43"/>
    <mergeCell ref="AC37:AF39"/>
  </mergeCells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106497" r:id="rId4" name="ScrollBar1">
          <controlPr defaultSize="0" autoLine="0" autoPict="0" linkedCell="J10" r:id="rId5">
            <anchor moveWithCells="1">
              <from>
                <xdr:col>9</xdr:col>
                <xdr:colOff>266700</xdr:colOff>
                <xdr:row>16</xdr:row>
                <xdr:rowOff>171450</xdr:rowOff>
              </from>
              <to>
                <xdr:col>12</xdr:col>
                <xdr:colOff>19050</xdr:colOff>
                <xdr:row>18</xdr:row>
                <xdr:rowOff>47625</xdr:rowOff>
              </to>
            </anchor>
          </controlPr>
        </control>
      </mc:Choice>
      <mc:Fallback>
        <control shapeId="106497" r:id="rId4" name="ScrollBar1"/>
      </mc:Fallback>
    </mc:AlternateContent>
    <mc:AlternateContent xmlns:mc="http://schemas.openxmlformats.org/markup-compatibility/2006">
      <mc:Choice Requires="x14">
        <control shapeId="106498" r:id="rId6" name="ScrollBar2">
          <controlPr defaultSize="0" autoLine="0" linkedCell="R9" r:id="rId7">
            <anchor moveWithCells="1">
              <from>
                <xdr:col>17</xdr:col>
                <xdr:colOff>9525</xdr:colOff>
                <xdr:row>11</xdr:row>
                <xdr:rowOff>19050</xdr:rowOff>
              </from>
              <to>
                <xdr:col>19</xdr:col>
                <xdr:colOff>9525</xdr:colOff>
                <xdr:row>12</xdr:row>
                <xdr:rowOff>0</xdr:rowOff>
              </to>
            </anchor>
          </controlPr>
        </control>
      </mc:Choice>
      <mc:Fallback>
        <control shapeId="106498" r:id="rId6" name="ScrollBar2"/>
      </mc:Fallback>
    </mc:AlternateContent>
    <mc:AlternateContent xmlns:mc="http://schemas.openxmlformats.org/markup-compatibility/2006">
      <mc:Choice Requires="x14">
        <control shapeId="106499" r:id="rId8" name="ScrollBar3">
          <controlPr defaultSize="0" autoLine="0" linkedCell="T13" r:id="rId9">
            <anchor moveWithCells="1">
              <from>
                <xdr:col>17</xdr:col>
                <xdr:colOff>9525</xdr:colOff>
                <xdr:row>15</xdr:row>
                <xdr:rowOff>0</xdr:rowOff>
              </from>
              <to>
                <xdr:col>19</xdr:col>
                <xdr:colOff>9525</xdr:colOff>
                <xdr:row>16</xdr:row>
                <xdr:rowOff>66675</xdr:rowOff>
              </to>
            </anchor>
          </controlPr>
        </control>
      </mc:Choice>
      <mc:Fallback>
        <control shapeId="106499" r:id="rId8" name="ScrollBar3"/>
      </mc:Fallback>
    </mc:AlternateContent>
    <mc:AlternateContent xmlns:mc="http://schemas.openxmlformats.org/markup-compatibility/2006">
      <mc:Choice Requires="x14">
        <control shapeId="106500" r:id="rId10" name="ScrollBar4">
          <controlPr defaultSize="0" autoLine="0" linkedCell="T17" r:id="rId9">
            <anchor moveWithCells="1">
              <from>
                <xdr:col>17</xdr:col>
                <xdr:colOff>9525</xdr:colOff>
                <xdr:row>19</xdr:row>
                <xdr:rowOff>0</xdr:rowOff>
              </from>
              <to>
                <xdr:col>19</xdr:col>
                <xdr:colOff>9525</xdr:colOff>
                <xdr:row>20</xdr:row>
                <xdr:rowOff>66675</xdr:rowOff>
              </to>
            </anchor>
          </controlPr>
        </control>
      </mc:Choice>
      <mc:Fallback>
        <control shapeId="106500" r:id="rId10" name="ScrollBar4"/>
      </mc:Fallback>
    </mc:AlternateContent>
    <mc:AlternateContent xmlns:mc="http://schemas.openxmlformats.org/markup-compatibility/2006">
      <mc:Choice Requires="x14">
        <control shapeId="106501" r:id="rId11" name="ScrollBar5">
          <controlPr defaultSize="0" autoLine="0" linkedCell="T21" r:id="rId12">
            <anchor moveWithCells="1">
              <from>
                <xdr:col>17</xdr:col>
                <xdr:colOff>19050</xdr:colOff>
                <xdr:row>23</xdr:row>
                <xdr:rowOff>28575</xdr:rowOff>
              </from>
              <to>
                <xdr:col>19</xdr:col>
                <xdr:colOff>38100</xdr:colOff>
                <xdr:row>24</xdr:row>
                <xdr:rowOff>85725</xdr:rowOff>
              </to>
            </anchor>
          </controlPr>
        </control>
      </mc:Choice>
      <mc:Fallback>
        <control shapeId="106501" r:id="rId11" name="ScrollBar5"/>
      </mc:Fallback>
    </mc:AlternateContent>
    <mc:AlternateContent xmlns:mc="http://schemas.openxmlformats.org/markup-compatibility/2006">
      <mc:Choice Requires="x14">
        <control shapeId="106502" r:id="rId13" name="ScrollBar6">
          <controlPr defaultSize="0" autoLine="0" autoPict="0" linkedCell="J31" r:id="rId14">
            <anchor moveWithCells="1">
              <from>
                <xdr:col>10</xdr:col>
                <xdr:colOff>0</xdr:colOff>
                <xdr:row>31</xdr:row>
                <xdr:rowOff>171450</xdr:rowOff>
              </from>
              <to>
                <xdr:col>12</xdr:col>
                <xdr:colOff>0</xdr:colOff>
                <xdr:row>33</xdr:row>
                <xdr:rowOff>9525</xdr:rowOff>
              </to>
            </anchor>
          </controlPr>
        </control>
      </mc:Choice>
      <mc:Fallback>
        <control shapeId="106502" r:id="rId13" name="ScrollBar6"/>
      </mc:Fallback>
    </mc:AlternateContent>
    <mc:AlternateContent xmlns:mc="http://schemas.openxmlformats.org/markup-compatibility/2006">
      <mc:Choice Requires="x14">
        <control shapeId="106503" r:id="rId15" name="ScrollBar7">
          <controlPr defaultSize="0" autoLine="0" autoPict="0" linkedCell="U10" r:id="rId16">
            <anchor moveWithCells="1">
              <from>
                <xdr:col>19</xdr:col>
                <xdr:colOff>47625</xdr:colOff>
                <xdr:row>11</xdr:row>
                <xdr:rowOff>0</xdr:rowOff>
              </from>
              <to>
                <xdr:col>19</xdr:col>
                <xdr:colOff>1123950</xdr:colOff>
                <xdr:row>12</xdr:row>
                <xdr:rowOff>28575</xdr:rowOff>
              </to>
            </anchor>
          </controlPr>
        </control>
      </mc:Choice>
      <mc:Fallback>
        <control shapeId="106503" r:id="rId15" name="ScrollBar7"/>
      </mc:Fallback>
    </mc:AlternateContent>
    <mc:AlternateContent xmlns:mc="http://schemas.openxmlformats.org/markup-compatibility/2006">
      <mc:Choice Requires="x14">
        <control shapeId="106504" r:id="rId17" name="ScrollBar8">
          <controlPr defaultSize="0" autoLine="0" autoPict="0" linkedCell="U14" r:id="rId18">
            <anchor moveWithCells="1">
              <from>
                <xdr:col>19</xdr:col>
                <xdr:colOff>57150</xdr:colOff>
                <xdr:row>15</xdr:row>
                <xdr:rowOff>19050</xdr:rowOff>
              </from>
              <to>
                <xdr:col>19</xdr:col>
                <xdr:colOff>1123950</xdr:colOff>
                <xdr:row>16</xdr:row>
                <xdr:rowOff>133350</xdr:rowOff>
              </to>
            </anchor>
          </controlPr>
        </control>
      </mc:Choice>
      <mc:Fallback>
        <control shapeId="106504" r:id="rId17" name="ScrollBar8"/>
      </mc:Fallback>
    </mc:AlternateContent>
    <mc:AlternateContent xmlns:mc="http://schemas.openxmlformats.org/markup-compatibility/2006">
      <mc:Choice Requires="x14">
        <control shapeId="106505" r:id="rId19" name="ScrollBar9">
          <controlPr defaultSize="0" autoLine="0" autoPict="0" linkedCell="U18" r:id="rId20">
            <anchor moveWithCells="1">
              <from>
                <xdr:col>19</xdr:col>
                <xdr:colOff>57150</xdr:colOff>
                <xdr:row>19</xdr:row>
                <xdr:rowOff>19050</xdr:rowOff>
              </from>
              <to>
                <xdr:col>19</xdr:col>
                <xdr:colOff>1152525</xdr:colOff>
                <xdr:row>20</xdr:row>
                <xdr:rowOff>123825</xdr:rowOff>
              </to>
            </anchor>
          </controlPr>
        </control>
      </mc:Choice>
      <mc:Fallback>
        <control shapeId="106505" r:id="rId19" name="ScrollBar9"/>
      </mc:Fallback>
    </mc:AlternateContent>
    <mc:AlternateContent xmlns:mc="http://schemas.openxmlformats.org/markup-compatibility/2006">
      <mc:Choice Requires="x14">
        <control shapeId="106506" r:id="rId21" name="ScrollBar10">
          <controlPr defaultSize="0" autoLine="0" autoPict="0" linkedCell="U22" r:id="rId20">
            <anchor moveWithCells="1">
              <from>
                <xdr:col>19</xdr:col>
                <xdr:colOff>57150</xdr:colOff>
                <xdr:row>23</xdr:row>
                <xdr:rowOff>19050</xdr:rowOff>
              </from>
              <to>
                <xdr:col>19</xdr:col>
                <xdr:colOff>1152525</xdr:colOff>
                <xdr:row>24</xdr:row>
                <xdr:rowOff>123825</xdr:rowOff>
              </to>
            </anchor>
          </controlPr>
        </control>
      </mc:Choice>
      <mc:Fallback>
        <control shapeId="106506" r:id="rId21" name="ScrollBar10"/>
      </mc:Fallback>
    </mc:AlternateContent>
    <mc:AlternateContent xmlns:mc="http://schemas.openxmlformats.org/markup-compatibility/2006">
      <mc:Choice Requires="x14">
        <control shapeId="106507" r:id="rId22" name="ScrollBar11">
          <controlPr defaultSize="0" autoLine="0" autoPict="0" linkedCell="R31" r:id="rId23">
            <anchor moveWithCells="1">
              <from>
                <xdr:col>17</xdr:col>
                <xdr:colOff>819150</xdr:colOff>
                <xdr:row>32</xdr:row>
                <xdr:rowOff>19050</xdr:rowOff>
              </from>
              <to>
                <xdr:col>19</xdr:col>
                <xdr:colOff>1133475</xdr:colOff>
                <xdr:row>33</xdr:row>
                <xdr:rowOff>95250</xdr:rowOff>
              </to>
            </anchor>
          </controlPr>
        </control>
      </mc:Choice>
      <mc:Fallback>
        <control shapeId="106507" r:id="rId22" name="ScrollBar11"/>
      </mc:Fallback>
    </mc:AlternateContent>
    <mc:AlternateContent xmlns:mc="http://schemas.openxmlformats.org/markup-compatibility/2006">
      <mc:Choice Requires="x14">
        <control shapeId="106508" r:id="rId24" name="ScrollBar12">
          <controlPr defaultSize="0" autoLine="0" autoPict="0" linkedCell="J29" r:id="rId25">
            <anchor moveWithCells="1">
              <from>
                <xdr:col>9</xdr:col>
                <xdr:colOff>276225</xdr:colOff>
                <xdr:row>12</xdr:row>
                <xdr:rowOff>19050</xdr:rowOff>
              </from>
              <to>
                <xdr:col>12</xdr:col>
                <xdr:colOff>9525</xdr:colOff>
                <xdr:row>13</xdr:row>
                <xdr:rowOff>57150</xdr:rowOff>
              </to>
            </anchor>
          </controlPr>
        </control>
      </mc:Choice>
      <mc:Fallback>
        <control shapeId="106508" r:id="rId24" name="ScrollBar12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R22:R24"/>
  <sheetViews>
    <sheetView workbookViewId="0">
      <selection activeCell="C11" sqref="C11"/>
    </sheetView>
  </sheetViews>
  <sheetFormatPr defaultColWidth="9.140625" defaultRowHeight="15" x14ac:dyDescent="0.25"/>
  <cols>
    <col min="1" max="16384" width="9.140625" style="281"/>
  </cols>
  <sheetData>
    <row r="22" spans="18:18" x14ac:dyDescent="0.25">
      <c r="R22" s="281">
        <f>360*5</f>
        <v>1800</v>
      </c>
    </row>
    <row r="24" spans="18:18" x14ac:dyDescent="0.25">
      <c r="R24" s="281">
        <f>(360*5)*0.85</f>
        <v>1530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"/>
  <sheetViews>
    <sheetView workbookViewId="0">
      <selection activeCell="C9" sqref="C9"/>
    </sheetView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"/>
  <sheetViews>
    <sheetView workbookViewId="0">
      <selection activeCell="C10" sqref="C10"/>
    </sheetView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"/>
  <sheetViews>
    <sheetView workbookViewId="0">
      <selection activeCell="C9" sqref="C9"/>
    </sheetView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"/>
  <sheetViews>
    <sheetView workbookViewId="0">
      <selection activeCell="C11" sqref="C11"/>
    </sheetView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"/>
  <sheetViews>
    <sheetView workbookViewId="0">
      <selection activeCell="R25" sqref="R25"/>
    </sheetView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G5:AF58"/>
  <sheetViews>
    <sheetView zoomScale="70" zoomScaleNormal="70" workbookViewId="0">
      <selection activeCell="Y35" sqref="Y35"/>
    </sheetView>
  </sheetViews>
  <sheetFormatPr defaultColWidth="9.140625" defaultRowHeight="15" x14ac:dyDescent="0.25"/>
  <cols>
    <col min="1" max="9" width="9.140625" style="281"/>
    <col min="10" max="10" width="10.140625" style="281" bestFit="1" customWidth="1"/>
    <col min="11" max="11" width="9.140625" style="281"/>
    <col min="12" max="12" width="10.140625" style="281" bestFit="1" customWidth="1"/>
    <col min="13" max="13" width="9.140625" style="281"/>
    <col min="14" max="14" width="12.140625" style="281" bestFit="1" customWidth="1"/>
    <col min="15" max="15" width="9.140625" style="281"/>
    <col min="16" max="16" width="15" style="281" customWidth="1"/>
    <col min="17" max="17" width="3.5703125" style="281" customWidth="1"/>
    <col min="18" max="18" width="11.85546875" style="281" customWidth="1"/>
    <col min="19" max="19" width="3.42578125" style="281" customWidth="1"/>
    <col min="20" max="20" width="1.85546875" style="281" customWidth="1"/>
    <col min="21" max="21" width="9.140625" style="281"/>
    <col min="22" max="22" width="8.5703125" style="281" customWidth="1"/>
    <col min="23" max="23" width="1.7109375" style="281" customWidth="1"/>
    <col min="24" max="24" width="9.140625" style="281"/>
    <col min="25" max="25" width="3.140625" style="281" customWidth="1"/>
    <col min="26" max="26" width="2" style="281" customWidth="1"/>
    <col min="27" max="28" width="9.140625" style="281"/>
    <col min="29" max="29" width="3.140625" style="281" customWidth="1"/>
    <col min="30" max="30" width="10.85546875" style="281" customWidth="1"/>
    <col min="31" max="16384" width="9.140625" style="281"/>
  </cols>
  <sheetData>
    <row r="5" spans="7:28" x14ac:dyDescent="0.25">
      <c r="J5" s="283"/>
    </row>
    <row r="7" spans="7:28" x14ac:dyDescent="0.25">
      <c r="J7" s="285"/>
    </row>
    <row r="9" spans="7:28" x14ac:dyDescent="0.25">
      <c r="N9" s="286">
        <v>4000</v>
      </c>
    </row>
    <row r="10" spans="7:28" ht="15" customHeight="1" x14ac:dyDescent="0.25">
      <c r="G10" s="286">
        <v>2500000</v>
      </c>
      <c r="N10" s="448">
        <f>N9</f>
        <v>4000</v>
      </c>
      <c r="O10" s="449"/>
      <c r="P10" s="452">
        <f>Q10</f>
        <v>25</v>
      </c>
      <c r="Q10" s="286">
        <v>25</v>
      </c>
      <c r="R10" s="443">
        <f>P10*12</f>
        <v>300</v>
      </c>
      <c r="S10" s="444"/>
      <c r="U10" s="443">
        <f>R10*N10</f>
        <v>1200000</v>
      </c>
      <c r="V10" s="444"/>
      <c r="X10" s="472">
        <v>0.75</v>
      </c>
      <c r="Y10" s="473"/>
      <c r="AA10" s="476">
        <f>U10*X10</f>
        <v>900000</v>
      </c>
      <c r="AB10" s="477"/>
    </row>
    <row r="11" spans="7:28" ht="15" customHeight="1" x14ac:dyDescent="0.25">
      <c r="N11" s="450"/>
      <c r="O11" s="451"/>
      <c r="P11" s="453"/>
      <c r="R11" s="445"/>
      <c r="S11" s="446"/>
      <c r="U11" s="445"/>
      <c r="V11" s="446"/>
      <c r="X11" s="474"/>
      <c r="Y11" s="475"/>
      <c r="AA11" s="478"/>
      <c r="AB11" s="479"/>
    </row>
    <row r="13" spans="7:28" x14ac:dyDescent="0.25">
      <c r="P13" s="286">
        <v>16000</v>
      </c>
      <c r="Q13" s="286"/>
      <c r="R13" s="286"/>
    </row>
    <row r="14" spans="7:28" ht="14.45" customHeight="1" x14ac:dyDescent="0.25">
      <c r="H14" s="286">
        <v>5</v>
      </c>
      <c r="N14" s="448">
        <f>P13</f>
        <v>16000</v>
      </c>
      <c r="O14" s="449"/>
      <c r="P14" s="452">
        <f>Q14</f>
        <v>25</v>
      </c>
      <c r="Q14" s="287">
        <v>25</v>
      </c>
      <c r="R14" s="443">
        <f>P14*12</f>
        <v>300</v>
      </c>
      <c r="S14" s="444"/>
      <c r="U14" s="443">
        <f>R14*N14</f>
        <v>4800000</v>
      </c>
      <c r="V14" s="444"/>
      <c r="X14" s="472">
        <v>0.75</v>
      </c>
      <c r="Y14" s="473"/>
      <c r="AA14" s="476">
        <f>U14*X14</f>
        <v>3600000</v>
      </c>
      <c r="AB14" s="477"/>
    </row>
    <row r="15" spans="7:28" ht="14.45" customHeight="1" x14ac:dyDescent="0.25">
      <c r="H15" s="468">
        <f>H14</f>
        <v>5</v>
      </c>
      <c r="I15" s="469"/>
      <c r="N15" s="450"/>
      <c r="O15" s="451"/>
      <c r="P15" s="453"/>
      <c r="Q15" s="287"/>
      <c r="R15" s="445"/>
      <c r="S15" s="446"/>
      <c r="U15" s="445"/>
      <c r="V15" s="446"/>
      <c r="X15" s="474"/>
      <c r="Y15" s="475"/>
      <c r="AA15" s="478"/>
      <c r="AB15" s="479"/>
    </row>
    <row r="16" spans="7:28" x14ac:dyDescent="0.25">
      <c r="H16" s="470"/>
      <c r="I16" s="471"/>
      <c r="P16" s="286"/>
      <c r="Q16" s="286"/>
      <c r="R16" s="286"/>
    </row>
    <row r="17" spans="7:32" x14ac:dyDescent="0.25">
      <c r="P17" s="286">
        <v>32000</v>
      </c>
      <c r="Q17" s="286">
        <v>1</v>
      </c>
      <c r="R17" s="286"/>
    </row>
    <row r="18" spans="7:32" ht="14.45" customHeight="1" x14ac:dyDescent="0.25">
      <c r="N18" s="448">
        <f>P17</f>
        <v>32000</v>
      </c>
      <c r="O18" s="449"/>
      <c r="P18" s="452">
        <f>Q18</f>
        <v>25</v>
      </c>
      <c r="Q18" s="286">
        <v>25</v>
      </c>
      <c r="R18" s="443">
        <f>P18*12</f>
        <v>300</v>
      </c>
      <c r="S18" s="444"/>
      <c r="U18" s="443">
        <f>N18*R18</f>
        <v>9600000</v>
      </c>
      <c r="V18" s="444"/>
      <c r="X18" s="472">
        <v>0.75</v>
      </c>
      <c r="Y18" s="473"/>
      <c r="AA18" s="443">
        <f>U18*X18</f>
        <v>7200000</v>
      </c>
      <c r="AB18" s="444"/>
    </row>
    <row r="19" spans="7:32" ht="14.45" customHeight="1" x14ac:dyDescent="0.25">
      <c r="N19" s="450"/>
      <c r="O19" s="451"/>
      <c r="P19" s="453"/>
      <c r="Q19" s="286"/>
      <c r="R19" s="445"/>
      <c r="S19" s="446"/>
      <c r="U19" s="445"/>
      <c r="V19" s="446"/>
      <c r="X19" s="474"/>
      <c r="Y19" s="475"/>
      <c r="AA19" s="445"/>
      <c r="AB19" s="446"/>
    </row>
    <row r="20" spans="7:32" x14ac:dyDescent="0.25">
      <c r="H20" s="447"/>
      <c r="I20" s="447"/>
      <c r="Q20" s="286"/>
      <c r="R20" s="286"/>
    </row>
    <row r="21" spans="7:32" x14ac:dyDescent="0.25">
      <c r="H21" s="447"/>
      <c r="I21" s="447"/>
      <c r="P21" s="286">
        <v>64000</v>
      </c>
      <c r="Q21" s="286"/>
      <c r="R21" s="286"/>
    </row>
    <row r="22" spans="7:32" ht="14.45" customHeight="1" x14ac:dyDescent="0.25">
      <c r="H22" s="433">
        <f>G25</f>
        <v>20000000</v>
      </c>
      <c r="I22" s="434"/>
      <c r="N22" s="448">
        <f>P21</f>
        <v>64000</v>
      </c>
      <c r="O22" s="449"/>
      <c r="P22" s="452">
        <f>Q22</f>
        <v>25</v>
      </c>
      <c r="Q22" s="286">
        <v>25</v>
      </c>
      <c r="R22" s="443">
        <f>P22*12</f>
        <v>300</v>
      </c>
      <c r="S22" s="444"/>
      <c r="U22" s="454">
        <f>N22*R22</f>
        <v>19200000</v>
      </c>
      <c r="V22" s="455"/>
      <c r="X22" s="472">
        <v>0.75</v>
      </c>
      <c r="Y22" s="473"/>
      <c r="AA22" s="476">
        <f>U22*X22</f>
        <v>14400000</v>
      </c>
      <c r="AB22" s="477"/>
    </row>
    <row r="23" spans="7:32" ht="14.45" customHeight="1" x14ac:dyDescent="0.25">
      <c r="H23" s="458"/>
      <c r="I23" s="459"/>
      <c r="N23" s="450"/>
      <c r="O23" s="451"/>
      <c r="P23" s="453"/>
      <c r="Q23" s="286"/>
      <c r="R23" s="445"/>
      <c r="S23" s="446"/>
      <c r="U23" s="456"/>
      <c r="V23" s="457"/>
      <c r="X23" s="474"/>
      <c r="Y23" s="475"/>
      <c r="AA23" s="478"/>
      <c r="AB23" s="479"/>
    </row>
    <row r="24" spans="7:32" x14ac:dyDescent="0.25">
      <c r="H24" s="435"/>
      <c r="I24" s="436"/>
      <c r="P24" s="286"/>
      <c r="Q24" s="286"/>
      <c r="R24" s="286"/>
    </row>
    <row r="25" spans="7:32" x14ac:dyDescent="0.25">
      <c r="G25" s="286">
        <v>20000000</v>
      </c>
    </row>
    <row r="26" spans="7:32" ht="15" customHeight="1" x14ac:dyDescent="0.25">
      <c r="N26" s="460">
        <f>P26/10</f>
        <v>8</v>
      </c>
      <c r="O26" s="461"/>
      <c r="P26" s="286">
        <v>80</v>
      </c>
    </row>
    <row r="27" spans="7:32" ht="15" customHeight="1" x14ac:dyDescent="0.25">
      <c r="H27" s="464">
        <f>G10</f>
        <v>2500000</v>
      </c>
      <c r="I27" s="465"/>
      <c r="N27" s="462"/>
      <c r="O27" s="463"/>
    </row>
    <row r="28" spans="7:32" x14ac:dyDescent="0.25">
      <c r="H28" s="466"/>
      <c r="I28" s="467"/>
    </row>
    <row r="29" spans="7:32" ht="21" customHeight="1" x14ac:dyDescent="0.35">
      <c r="P29" s="360" t="s">
        <v>585</v>
      </c>
      <c r="Q29" s="361"/>
      <c r="R29" s="362">
        <f>N10</f>
        <v>4000</v>
      </c>
      <c r="U29" s="281">
        <v>4000</v>
      </c>
      <c r="AB29" s="283">
        <f>U29</f>
        <v>4000</v>
      </c>
      <c r="AD29" s="359">
        <f>N10</f>
        <v>4000</v>
      </c>
      <c r="AF29" s="365">
        <f>AD29/AB29</f>
        <v>1</v>
      </c>
    </row>
    <row r="30" spans="7:32" ht="15" customHeight="1" x14ac:dyDescent="0.35">
      <c r="P30" s="360" t="s">
        <v>586</v>
      </c>
      <c r="Q30" s="361"/>
      <c r="R30" s="362">
        <f>N14-N10</f>
        <v>12000</v>
      </c>
      <c r="U30" s="281">
        <v>4000</v>
      </c>
      <c r="V30" s="281">
        <v>4000</v>
      </c>
      <c r="AB30" s="283">
        <f>U30+V30+W30</f>
        <v>8000</v>
      </c>
      <c r="AD30" s="359">
        <f>N14</f>
        <v>16000</v>
      </c>
      <c r="AF30" s="366">
        <f>AD30/AB30</f>
        <v>2</v>
      </c>
    </row>
    <row r="31" spans="7:32" ht="20.45" customHeight="1" x14ac:dyDescent="0.35">
      <c r="H31" s="433">
        <f>H22+H27</f>
        <v>22500000</v>
      </c>
      <c r="I31" s="434"/>
      <c r="N31" s="433">
        <f>U22*N26</f>
        <v>153600000</v>
      </c>
      <c r="O31" s="434"/>
      <c r="P31" s="360" t="s">
        <v>587</v>
      </c>
      <c r="Q31" s="361"/>
      <c r="R31" s="363">
        <f>N18-N14</f>
        <v>16000</v>
      </c>
      <c r="U31" s="281">
        <v>4000</v>
      </c>
      <c r="V31" s="281">
        <v>4000</v>
      </c>
      <c r="X31" s="281">
        <v>4000</v>
      </c>
      <c r="AB31" s="283">
        <f>U31+V31+X31</f>
        <v>12000</v>
      </c>
      <c r="AD31" s="359">
        <f>N18</f>
        <v>32000</v>
      </c>
      <c r="AF31" s="367">
        <f>AD31/AB31</f>
        <v>2.6666666666666665</v>
      </c>
    </row>
    <row r="32" spans="7:32" ht="18.600000000000001" customHeight="1" x14ac:dyDescent="0.35">
      <c r="H32" s="458"/>
      <c r="I32" s="459"/>
      <c r="N32" s="435"/>
      <c r="O32" s="436"/>
      <c r="P32" s="360" t="s">
        <v>588</v>
      </c>
      <c r="Q32" s="361"/>
      <c r="R32" s="363">
        <f>N22-N18</f>
        <v>32000</v>
      </c>
      <c r="U32" s="281">
        <v>4000</v>
      </c>
      <c r="V32" s="281">
        <v>4000</v>
      </c>
      <c r="X32" s="281">
        <v>4000</v>
      </c>
      <c r="AA32" s="364">
        <v>4000</v>
      </c>
      <c r="AB32" s="283">
        <f>U32+V32+X32+AA32</f>
        <v>16000</v>
      </c>
      <c r="AD32" s="359">
        <f>N22</f>
        <v>64000</v>
      </c>
      <c r="AF32" s="368">
        <f>AD32/AB32</f>
        <v>4</v>
      </c>
    </row>
    <row r="33" spans="8:15" ht="15" customHeight="1" x14ac:dyDescent="0.25">
      <c r="H33" s="435"/>
      <c r="I33" s="436"/>
    </row>
    <row r="34" spans="8:15" ht="15" customHeight="1" x14ac:dyDescent="0.25">
      <c r="N34" s="351"/>
      <c r="O34" s="351"/>
    </row>
    <row r="35" spans="8:15" ht="15" customHeight="1" x14ac:dyDescent="0.25">
      <c r="N35" s="433">
        <f>H27*H15</f>
        <v>12500000</v>
      </c>
      <c r="O35" s="434"/>
    </row>
    <row r="36" spans="8:15" ht="14.45" customHeight="1" x14ac:dyDescent="0.25">
      <c r="N36" s="435"/>
      <c r="O36" s="436"/>
    </row>
    <row r="37" spans="8:15" ht="14.45" customHeight="1" x14ac:dyDescent="0.25">
      <c r="H37" s="399">
        <f>H27/H31</f>
        <v>0.1111111111111111</v>
      </c>
      <c r="I37" s="400"/>
    </row>
    <row r="38" spans="8:15" ht="14.45" customHeight="1" x14ac:dyDescent="0.25">
      <c r="H38" s="401"/>
      <c r="I38" s="402"/>
    </row>
    <row r="39" spans="8:15" x14ac:dyDescent="0.25">
      <c r="H39" s="403"/>
      <c r="I39" s="404"/>
      <c r="N39" s="437">
        <f>N35/N31</f>
        <v>8.1380208333333329E-2</v>
      </c>
      <c r="O39" s="438"/>
    </row>
    <row r="40" spans="8:15" x14ac:dyDescent="0.25">
      <c r="N40" s="439"/>
      <c r="O40" s="440"/>
    </row>
    <row r="41" spans="8:15" x14ac:dyDescent="0.25">
      <c r="N41" s="441"/>
      <c r="O41" s="442"/>
    </row>
    <row r="44" spans="8:15" ht="14.45" customHeight="1" x14ac:dyDescent="0.25"/>
    <row r="45" spans="8:15" ht="14.45" customHeight="1" x14ac:dyDescent="0.25"/>
    <row r="46" spans="8:15" ht="14.45" customHeight="1" x14ac:dyDescent="0.25"/>
    <row r="48" spans="8:15" ht="15" customHeight="1" x14ac:dyDescent="0.25"/>
    <row r="49" ht="15" customHeight="1" x14ac:dyDescent="0.25"/>
    <row r="50" ht="15" customHeight="1" x14ac:dyDescent="0.25"/>
    <row r="52" ht="14.45" customHeight="1" x14ac:dyDescent="0.25"/>
    <row r="53" ht="14.45" customHeight="1" x14ac:dyDescent="0.25"/>
    <row r="54" ht="14.45" customHeight="1" x14ac:dyDescent="0.25"/>
    <row r="56" ht="14.45" customHeight="1" x14ac:dyDescent="0.25"/>
    <row r="57" ht="14.45" customHeight="1" x14ac:dyDescent="0.25"/>
    <row r="58" ht="14.45" customHeight="1" x14ac:dyDescent="0.25"/>
  </sheetData>
  <mergeCells count="34">
    <mergeCell ref="AA10:AB11"/>
    <mergeCell ref="AA14:AB15"/>
    <mergeCell ref="AA18:AB19"/>
    <mergeCell ref="AA22:AB23"/>
    <mergeCell ref="H15:I16"/>
    <mergeCell ref="X10:Y11"/>
    <mergeCell ref="X14:Y15"/>
    <mergeCell ref="X18:Y19"/>
    <mergeCell ref="X22:Y23"/>
    <mergeCell ref="N10:O11"/>
    <mergeCell ref="P10:P11"/>
    <mergeCell ref="R10:S11"/>
    <mergeCell ref="U10:V11"/>
    <mergeCell ref="N14:O15"/>
    <mergeCell ref="P14:P15"/>
    <mergeCell ref="R14:S15"/>
    <mergeCell ref="U14:V15"/>
    <mergeCell ref="U18:V19"/>
    <mergeCell ref="H20:I21"/>
    <mergeCell ref="N22:O23"/>
    <mergeCell ref="P22:P23"/>
    <mergeCell ref="R22:S23"/>
    <mergeCell ref="U22:V23"/>
    <mergeCell ref="N18:O19"/>
    <mergeCell ref="P18:P19"/>
    <mergeCell ref="H22:I24"/>
    <mergeCell ref="N35:O36"/>
    <mergeCell ref="N31:O32"/>
    <mergeCell ref="H37:I39"/>
    <mergeCell ref="N39:O41"/>
    <mergeCell ref="R18:S19"/>
    <mergeCell ref="N26:O27"/>
    <mergeCell ref="H31:I33"/>
    <mergeCell ref="H27:I28"/>
  </mergeCells>
  <pageMargins left="0.7" right="0.7" top="0.75" bottom="0.75" header="0.3" footer="0.3"/>
  <pageSetup orientation="portrait" horizontalDpi="0" verticalDpi="0" r:id="rId1"/>
  <drawing r:id="rId2"/>
  <legacyDrawing r:id="rId3"/>
  <controls>
    <mc:AlternateContent xmlns:mc="http://schemas.openxmlformats.org/markup-compatibility/2006">
      <mc:Choice Requires="x14">
        <control shapeId="41996" r:id="rId4" name="ScrollBar12">
          <controlPr defaultSize="0" autoLine="0" autoPict="0" linkedCell="G25" r:id="rId5">
            <anchor moveWithCells="1">
              <from>
                <xdr:col>6</xdr:col>
                <xdr:colOff>609600</xdr:colOff>
                <xdr:row>23</xdr:row>
                <xdr:rowOff>180975</xdr:rowOff>
              </from>
              <to>
                <xdr:col>8</xdr:col>
                <xdr:colOff>619125</xdr:colOff>
                <xdr:row>25</xdr:row>
                <xdr:rowOff>95250</xdr:rowOff>
              </to>
            </anchor>
          </controlPr>
        </control>
      </mc:Choice>
      <mc:Fallback>
        <control shapeId="41996" r:id="rId4" name="ScrollBar12"/>
      </mc:Fallback>
    </mc:AlternateContent>
    <mc:AlternateContent xmlns:mc="http://schemas.openxmlformats.org/markup-compatibility/2006">
      <mc:Choice Requires="x14">
        <control shapeId="41985" r:id="rId6" name="ScrollBar1">
          <controlPr defaultSize="0" autoLine="0" autoPict="0" linkedCell="G10" r:id="rId7">
            <anchor moveWithCells="1">
              <from>
                <xdr:col>6</xdr:col>
                <xdr:colOff>619125</xdr:colOff>
                <xdr:row>27</xdr:row>
                <xdr:rowOff>180975</xdr:rowOff>
              </from>
              <to>
                <xdr:col>9</xdr:col>
                <xdr:colOff>9525</xdr:colOff>
                <xdr:row>29</xdr:row>
                <xdr:rowOff>0</xdr:rowOff>
              </to>
            </anchor>
          </controlPr>
        </control>
      </mc:Choice>
      <mc:Fallback>
        <control shapeId="41985" r:id="rId6" name="ScrollBar1"/>
      </mc:Fallback>
    </mc:AlternateContent>
    <mc:AlternateContent xmlns:mc="http://schemas.openxmlformats.org/markup-compatibility/2006">
      <mc:Choice Requires="x14">
        <control shapeId="41986" r:id="rId8" name="ScrollBar2">
          <controlPr defaultSize="0" autoLine="0" linkedCell="N9" r:id="rId9">
            <anchor moveWithCells="1">
              <from>
                <xdr:col>13</xdr:col>
                <xdr:colOff>9525</xdr:colOff>
                <xdr:row>11</xdr:row>
                <xdr:rowOff>19050</xdr:rowOff>
              </from>
              <to>
                <xdr:col>15</xdr:col>
                <xdr:colOff>9525</xdr:colOff>
                <xdr:row>12</xdr:row>
                <xdr:rowOff>38100</xdr:rowOff>
              </to>
            </anchor>
          </controlPr>
        </control>
      </mc:Choice>
      <mc:Fallback>
        <control shapeId="41986" r:id="rId8" name="ScrollBar2"/>
      </mc:Fallback>
    </mc:AlternateContent>
    <mc:AlternateContent xmlns:mc="http://schemas.openxmlformats.org/markup-compatibility/2006">
      <mc:Choice Requires="x14">
        <control shapeId="41987" r:id="rId10" name="ScrollBar3">
          <controlPr defaultSize="0" autoLine="0" linkedCell="P13" r:id="rId11">
            <anchor moveWithCells="1">
              <from>
                <xdr:col>13</xdr:col>
                <xdr:colOff>9525</xdr:colOff>
                <xdr:row>15</xdr:row>
                <xdr:rowOff>0</xdr:rowOff>
              </from>
              <to>
                <xdr:col>15</xdr:col>
                <xdr:colOff>9525</xdr:colOff>
                <xdr:row>16</xdr:row>
                <xdr:rowOff>57150</xdr:rowOff>
              </to>
            </anchor>
          </controlPr>
        </control>
      </mc:Choice>
      <mc:Fallback>
        <control shapeId="41987" r:id="rId10" name="ScrollBar3"/>
      </mc:Fallback>
    </mc:AlternateContent>
    <mc:AlternateContent xmlns:mc="http://schemas.openxmlformats.org/markup-compatibility/2006">
      <mc:Choice Requires="x14">
        <control shapeId="41988" r:id="rId12" name="ScrollBar4">
          <controlPr defaultSize="0" autoLine="0" linkedCell="P17" r:id="rId11">
            <anchor moveWithCells="1">
              <from>
                <xdr:col>13</xdr:col>
                <xdr:colOff>9525</xdr:colOff>
                <xdr:row>19</xdr:row>
                <xdr:rowOff>0</xdr:rowOff>
              </from>
              <to>
                <xdr:col>15</xdr:col>
                <xdr:colOff>9525</xdr:colOff>
                <xdr:row>20</xdr:row>
                <xdr:rowOff>57150</xdr:rowOff>
              </to>
            </anchor>
          </controlPr>
        </control>
      </mc:Choice>
      <mc:Fallback>
        <control shapeId="41988" r:id="rId12" name="ScrollBar4"/>
      </mc:Fallback>
    </mc:AlternateContent>
    <mc:AlternateContent xmlns:mc="http://schemas.openxmlformats.org/markup-compatibility/2006">
      <mc:Choice Requires="x14">
        <control shapeId="41989" r:id="rId13" name="ScrollBar5">
          <controlPr defaultSize="0" autoLine="0" linkedCell="P21" r:id="rId14">
            <anchor moveWithCells="1">
              <from>
                <xdr:col>12</xdr:col>
                <xdr:colOff>600075</xdr:colOff>
                <xdr:row>23</xdr:row>
                <xdr:rowOff>19050</xdr:rowOff>
              </from>
              <to>
                <xdr:col>15</xdr:col>
                <xdr:colOff>9525</xdr:colOff>
                <xdr:row>24</xdr:row>
                <xdr:rowOff>66675</xdr:rowOff>
              </to>
            </anchor>
          </controlPr>
        </control>
      </mc:Choice>
      <mc:Fallback>
        <control shapeId="41989" r:id="rId13" name="ScrollBar5"/>
      </mc:Fallback>
    </mc:AlternateContent>
    <mc:AlternateContent xmlns:mc="http://schemas.openxmlformats.org/markup-compatibility/2006">
      <mc:Choice Requires="x14">
        <control shapeId="41990" r:id="rId15" name="ScrollBar6">
          <controlPr defaultSize="0" autoLine="0" autoPict="0" linkedCell="H14" r:id="rId16">
            <anchor moveWithCells="1">
              <from>
                <xdr:col>6</xdr:col>
                <xdr:colOff>619125</xdr:colOff>
                <xdr:row>16</xdr:row>
                <xdr:rowOff>28575</xdr:rowOff>
              </from>
              <to>
                <xdr:col>9</xdr:col>
                <xdr:colOff>9525</xdr:colOff>
                <xdr:row>17</xdr:row>
                <xdr:rowOff>66675</xdr:rowOff>
              </to>
            </anchor>
          </controlPr>
        </control>
      </mc:Choice>
      <mc:Fallback>
        <control shapeId="41990" r:id="rId15" name="ScrollBar6"/>
      </mc:Fallback>
    </mc:AlternateContent>
    <mc:AlternateContent xmlns:mc="http://schemas.openxmlformats.org/markup-compatibility/2006">
      <mc:Choice Requires="x14">
        <control shapeId="41991" r:id="rId17" name="ScrollBar7">
          <controlPr defaultSize="0" autoLine="0" linkedCell="Q10" r:id="rId18">
            <anchor moveWithCells="1">
              <from>
                <xdr:col>15</xdr:col>
                <xdr:colOff>47625</xdr:colOff>
                <xdr:row>11</xdr:row>
                <xdr:rowOff>0</xdr:rowOff>
              </from>
              <to>
                <xdr:col>16</xdr:col>
                <xdr:colOff>9525</xdr:colOff>
                <xdr:row>12</xdr:row>
                <xdr:rowOff>57150</xdr:rowOff>
              </to>
            </anchor>
          </controlPr>
        </control>
      </mc:Choice>
      <mc:Fallback>
        <control shapeId="41991" r:id="rId17" name="ScrollBar7"/>
      </mc:Fallback>
    </mc:AlternateContent>
    <mc:AlternateContent xmlns:mc="http://schemas.openxmlformats.org/markup-compatibility/2006">
      <mc:Choice Requires="x14">
        <control shapeId="41992" r:id="rId19" name="ScrollBar8">
          <controlPr defaultSize="0" autoLine="0" linkedCell="Q14" r:id="rId20">
            <anchor moveWithCells="1">
              <from>
                <xdr:col>15</xdr:col>
                <xdr:colOff>57150</xdr:colOff>
                <xdr:row>15</xdr:row>
                <xdr:rowOff>19050</xdr:rowOff>
              </from>
              <to>
                <xdr:col>16</xdr:col>
                <xdr:colOff>0</xdr:colOff>
                <xdr:row>16</xdr:row>
                <xdr:rowOff>66675</xdr:rowOff>
              </to>
            </anchor>
          </controlPr>
        </control>
      </mc:Choice>
      <mc:Fallback>
        <control shapeId="41992" r:id="rId19" name="ScrollBar8"/>
      </mc:Fallback>
    </mc:AlternateContent>
    <mc:AlternateContent xmlns:mc="http://schemas.openxmlformats.org/markup-compatibility/2006">
      <mc:Choice Requires="x14">
        <control shapeId="41993" r:id="rId21" name="ScrollBar9">
          <controlPr defaultSize="0" autoLine="0" linkedCell="Q18" r:id="rId22">
            <anchor moveWithCells="1">
              <from>
                <xdr:col>15</xdr:col>
                <xdr:colOff>57150</xdr:colOff>
                <xdr:row>19</xdr:row>
                <xdr:rowOff>19050</xdr:rowOff>
              </from>
              <to>
                <xdr:col>15</xdr:col>
                <xdr:colOff>990600</xdr:colOff>
                <xdr:row>20</xdr:row>
                <xdr:rowOff>66675</xdr:rowOff>
              </to>
            </anchor>
          </controlPr>
        </control>
      </mc:Choice>
      <mc:Fallback>
        <control shapeId="41993" r:id="rId21" name="ScrollBar9"/>
      </mc:Fallback>
    </mc:AlternateContent>
    <mc:AlternateContent xmlns:mc="http://schemas.openxmlformats.org/markup-compatibility/2006">
      <mc:Choice Requires="x14">
        <control shapeId="41994" r:id="rId23" name="ScrollBar10">
          <controlPr defaultSize="0" autoLine="0" linkedCell="Q22" r:id="rId24">
            <anchor moveWithCells="1">
              <from>
                <xdr:col>15</xdr:col>
                <xdr:colOff>57150</xdr:colOff>
                <xdr:row>23</xdr:row>
                <xdr:rowOff>19050</xdr:rowOff>
              </from>
              <to>
                <xdr:col>15</xdr:col>
                <xdr:colOff>981075</xdr:colOff>
                <xdr:row>24</xdr:row>
                <xdr:rowOff>66675</xdr:rowOff>
              </to>
            </anchor>
          </controlPr>
        </control>
      </mc:Choice>
      <mc:Fallback>
        <control shapeId="41994" r:id="rId23" name="ScrollBar10"/>
      </mc:Fallback>
    </mc:AlternateContent>
    <mc:AlternateContent xmlns:mc="http://schemas.openxmlformats.org/markup-compatibility/2006">
      <mc:Choice Requires="x14">
        <control shapeId="41995" r:id="rId25" name="ScrollBar11">
          <controlPr defaultSize="0" autoLine="0" linkedCell="P26" r:id="rId26">
            <anchor moveWithCells="1">
              <from>
                <xdr:col>13</xdr:col>
                <xdr:colOff>0</xdr:colOff>
                <xdr:row>27</xdr:row>
                <xdr:rowOff>9525</xdr:rowOff>
              </from>
              <to>
                <xdr:col>15</xdr:col>
                <xdr:colOff>9525</xdr:colOff>
                <xdr:row>28</xdr:row>
                <xdr:rowOff>57150</xdr:rowOff>
              </to>
            </anchor>
          </controlPr>
        </control>
      </mc:Choice>
      <mc:Fallback>
        <control shapeId="41995" r:id="rId25" name="ScrollBar1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N13:O26"/>
  <sheetViews>
    <sheetView workbookViewId="0"/>
  </sheetViews>
  <sheetFormatPr defaultColWidth="9.140625" defaultRowHeight="15" x14ac:dyDescent="0.25"/>
  <cols>
    <col min="1" max="16384" width="9.140625" style="281"/>
  </cols>
  <sheetData>
    <row r="13" spans="15:15" x14ac:dyDescent="0.25">
      <c r="O13"/>
    </row>
    <row r="25" spans="14:14" x14ac:dyDescent="0.25">
      <c r="N25"/>
    </row>
    <row r="26" spans="14:14" x14ac:dyDescent="0.25">
      <c r="N2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N11:O24"/>
  <sheetViews>
    <sheetView topLeftCell="A4" workbookViewId="0">
      <selection activeCell="L38" sqref="L38"/>
    </sheetView>
  </sheetViews>
  <sheetFormatPr defaultColWidth="9.140625" defaultRowHeight="15" x14ac:dyDescent="0.25"/>
  <cols>
    <col min="1" max="16384" width="9.140625" style="281"/>
  </cols>
  <sheetData>
    <row r="11" spans="15:15" x14ac:dyDescent="0.25">
      <c r="O11"/>
    </row>
    <row r="23" spans="14:14" x14ac:dyDescent="0.25">
      <c r="N23"/>
    </row>
    <row r="24" spans="14:14" x14ac:dyDescent="0.25">
      <c r="N2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N11:O24"/>
  <sheetViews>
    <sheetView topLeftCell="A4" workbookViewId="0">
      <selection activeCell="I10" sqref="I10"/>
    </sheetView>
  </sheetViews>
  <sheetFormatPr defaultColWidth="9.140625" defaultRowHeight="15" x14ac:dyDescent="0.25"/>
  <cols>
    <col min="1" max="16384" width="9.140625" style="281"/>
  </cols>
  <sheetData>
    <row r="11" spans="15:15" x14ac:dyDescent="0.25">
      <c r="O11"/>
    </row>
    <row r="23" spans="14:14" x14ac:dyDescent="0.25">
      <c r="N23"/>
    </row>
    <row r="24" spans="14:14" x14ac:dyDescent="0.25">
      <c r="N24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N11:O24"/>
  <sheetViews>
    <sheetView topLeftCell="A4" workbookViewId="0">
      <selection activeCell="L38" sqref="L38"/>
    </sheetView>
  </sheetViews>
  <sheetFormatPr defaultColWidth="9.140625" defaultRowHeight="15" x14ac:dyDescent="0.25"/>
  <cols>
    <col min="1" max="16384" width="9.140625" style="281"/>
  </cols>
  <sheetData>
    <row r="11" spans="15:15" x14ac:dyDescent="0.25">
      <c r="O11"/>
    </row>
    <row r="23" spans="14:14" x14ac:dyDescent="0.25">
      <c r="N23"/>
    </row>
    <row r="24" spans="14:14" x14ac:dyDescent="0.25">
      <c r="N24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N11:O24"/>
  <sheetViews>
    <sheetView topLeftCell="A4" workbookViewId="0">
      <selection activeCell="B36" sqref="B36"/>
    </sheetView>
  </sheetViews>
  <sheetFormatPr defaultColWidth="9.140625" defaultRowHeight="15" x14ac:dyDescent="0.25"/>
  <cols>
    <col min="1" max="16384" width="9.140625" style="281"/>
  </cols>
  <sheetData>
    <row r="11" spans="15:15" x14ac:dyDescent="0.25">
      <c r="O11"/>
    </row>
    <row r="23" spans="14:14" x14ac:dyDescent="0.25">
      <c r="N23"/>
    </row>
    <row r="24" spans="14:14" x14ac:dyDescent="0.25">
      <c r="N24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I18:I19"/>
  <sheetViews>
    <sheetView workbookViewId="0"/>
  </sheetViews>
  <sheetFormatPr defaultColWidth="9.140625" defaultRowHeight="15" x14ac:dyDescent="0.25"/>
  <cols>
    <col min="1" max="16384" width="9.140625" style="281"/>
  </cols>
  <sheetData>
    <row r="18" spans="9:9" x14ac:dyDescent="0.25">
      <c r="I18"/>
    </row>
    <row r="19" spans="9:9" x14ac:dyDescent="0.25">
      <c r="I19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/>
  <dimension ref="R7:S20"/>
  <sheetViews>
    <sheetView workbookViewId="0">
      <selection activeCell="T25" sqref="T25"/>
    </sheetView>
  </sheetViews>
  <sheetFormatPr defaultColWidth="9.140625" defaultRowHeight="15" x14ac:dyDescent="0.25"/>
  <cols>
    <col min="1" max="16384" width="9.140625" style="281"/>
  </cols>
  <sheetData>
    <row r="7" spans="19:19" x14ac:dyDescent="0.25">
      <c r="S7"/>
    </row>
    <row r="19" spans="18:18" x14ac:dyDescent="0.25">
      <c r="R19" s="288"/>
    </row>
    <row r="20" spans="18:18" x14ac:dyDescent="0.25">
      <c r="R20"/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/>
  <dimension ref="U39"/>
  <sheetViews>
    <sheetView workbookViewId="0"/>
  </sheetViews>
  <sheetFormatPr defaultColWidth="9.140625" defaultRowHeight="15" x14ac:dyDescent="0.25"/>
  <cols>
    <col min="1" max="16384" width="9.140625" style="281"/>
  </cols>
  <sheetData>
    <row r="39" spans="21:21" x14ac:dyDescent="0.25">
      <c r="U39" s="281" t="s">
        <v>308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L26"/>
  <sheetViews>
    <sheetView zoomScale="120" zoomScaleNormal="120" workbookViewId="0">
      <selection activeCell="B14" sqref="B14"/>
    </sheetView>
  </sheetViews>
  <sheetFormatPr defaultRowHeight="15" x14ac:dyDescent="0.25"/>
  <cols>
    <col min="4" max="5" width="9.85546875" bestFit="1" customWidth="1"/>
  </cols>
  <sheetData>
    <row r="2" spans="1:12" x14ac:dyDescent="0.25">
      <c r="A2" s="346">
        <v>1</v>
      </c>
      <c r="B2" s="346">
        <v>500</v>
      </c>
      <c r="C2" s="346">
        <v>25</v>
      </c>
      <c r="D2" s="348">
        <f>B2*C2</f>
        <v>12500</v>
      </c>
      <c r="E2" s="348">
        <v>12</v>
      </c>
      <c r="F2" s="348">
        <f>D2*E2</f>
        <v>150000</v>
      </c>
      <c r="G2" s="346">
        <f>B2</f>
        <v>500</v>
      </c>
      <c r="H2" s="346">
        <v>25</v>
      </c>
      <c r="I2" s="348">
        <f>G2*H2</f>
        <v>12500</v>
      </c>
      <c r="J2" s="347"/>
      <c r="K2" s="347"/>
      <c r="L2" s="347"/>
    </row>
    <row r="3" spans="1:12" x14ac:dyDescent="0.25">
      <c r="A3" s="346">
        <v>2</v>
      </c>
      <c r="B3" s="346">
        <v>300</v>
      </c>
      <c r="C3" s="346">
        <v>25</v>
      </c>
      <c r="D3" s="348">
        <f t="shared" ref="D3:D13" si="0">B3*C3</f>
        <v>7500</v>
      </c>
      <c r="E3" s="348">
        <v>11</v>
      </c>
      <c r="F3" s="348">
        <f t="shared" ref="F3:F13" si="1">D3*E3</f>
        <v>82500</v>
      </c>
      <c r="G3" s="346">
        <f>G2+B3</f>
        <v>800</v>
      </c>
      <c r="H3" s="346">
        <v>25</v>
      </c>
      <c r="I3" s="348">
        <f t="shared" ref="I3:I13" si="2">G3*H3</f>
        <v>20000</v>
      </c>
      <c r="J3" s="347"/>
      <c r="K3" s="347"/>
      <c r="L3" s="347"/>
    </row>
    <row r="4" spans="1:12" x14ac:dyDescent="0.25">
      <c r="A4" s="346">
        <v>3</v>
      </c>
      <c r="B4" s="346">
        <v>400</v>
      </c>
      <c r="C4" s="346">
        <v>25</v>
      </c>
      <c r="D4" s="348">
        <f t="shared" si="0"/>
        <v>10000</v>
      </c>
      <c r="E4" s="348">
        <v>10</v>
      </c>
      <c r="F4" s="348">
        <f t="shared" si="1"/>
        <v>100000</v>
      </c>
      <c r="G4" s="346">
        <f>G3+B4</f>
        <v>1200</v>
      </c>
      <c r="H4" s="346">
        <v>25</v>
      </c>
      <c r="I4" s="348">
        <f t="shared" si="2"/>
        <v>30000</v>
      </c>
      <c r="J4" s="347"/>
      <c r="K4" s="347"/>
      <c r="L4" s="347"/>
    </row>
    <row r="5" spans="1:12" x14ac:dyDescent="0.25">
      <c r="A5" s="346">
        <v>4</v>
      </c>
      <c r="B5" s="346">
        <v>500</v>
      </c>
      <c r="C5" s="346">
        <v>25</v>
      </c>
      <c r="D5" s="348">
        <f t="shared" si="0"/>
        <v>12500</v>
      </c>
      <c r="E5" s="348">
        <v>9</v>
      </c>
      <c r="F5" s="348">
        <f t="shared" si="1"/>
        <v>112500</v>
      </c>
      <c r="G5" s="346">
        <f t="shared" ref="G5:G13" si="3">G4+B5</f>
        <v>1700</v>
      </c>
      <c r="H5" s="346">
        <v>25</v>
      </c>
      <c r="I5" s="348">
        <f t="shared" si="2"/>
        <v>42500</v>
      </c>
      <c r="J5" s="347"/>
      <c r="K5" s="347"/>
      <c r="L5" s="347"/>
    </row>
    <row r="6" spans="1:12" x14ac:dyDescent="0.25">
      <c r="A6" s="346">
        <v>5</v>
      </c>
      <c r="B6" s="346">
        <v>100</v>
      </c>
      <c r="C6" s="346">
        <v>25</v>
      </c>
      <c r="D6" s="348">
        <f t="shared" si="0"/>
        <v>2500</v>
      </c>
      <c r="E6" s="348">
        <v>8</v>
      </c>
      <c r="F6" s="348">
        <f t="shared" si="1"/>
        <v>20000</v>
      </c>
      <c r="G6" s="346">
        <f t="shared" si="3"/>
        <v>1800</v>
      </c>
      <c r="H6" s="346">
        <v>25</v>
      </c>
      <c r="I6" s="348">
        <f t="shared" si="2"/>
        <v>45000</v>
      </c>
      <c r="J6" s="347"/>
      <c r="K6" s="347"/>
      <c r="L6" s="347"/>
    </row>
    <row r="7" spans="1:12" x14ac:dyDescent="0.25">
      <c r="A7" s="346">
        <v>6</v>
      </c>
      <c r="B7" s="346">
        <v>200</v>
      </c>
      <c r="C7" s="346">
        <v>25</v>
      </c>
      <c r="D7" s="348">
        <f t="shared" si="0"/>
        <v>5000</v>
      </c>
      <c r="E7" s="348">
        <v>7</v>
      </c>
      <c r="F7" s="348">
        <f t="shared" si="1"/>
        <v>35000</v>
      </c>
      <c r="G7" s="346">
        <f t="shared" si="3"/>
        <v>2000</v>
      </c>
      <c r="H7" s="346">
        <v>25</v>
      </c>
      <c r="I7" s="348">
        <f t="shared" si="2"/>
        <v>50000</v>
      </c>
      <c r="J7" s="347"/>
      <c r="K7" s="347"/>
      <c r="L7" s="347"/>
    </row>
    <row r="8" spans="1:12" x14ac:dyDescent="0.25">
      <c r="A8" s="346">
        <v>7</v>
      </c>
      <c r="B8" s="346">
        <v>300</v>
      </c>
      <c r="C8" s="346">
        <v>25</v>
      </c>
      <c r="D8" s="348">
        <f t="shared" si="0"/>
        <v>7500</v>
      </c>
      <c r="E8" s="348">
        <v>6</v>
      </c>
      <c r="F8" s="348">
        <f t="shared" si="1"/>
        <v>45000</v>
      </c>
      <c r="G8" s="346">
        <f t="shared" si="3"/>
        <v>2300</v>
      </c>
      <c r="H8" s="346">
        <v>25</v>
      </c>
      <c r="I8" s="348">
        <f t="shared" si="2"/>
        <v>57500</v>
      </c>
      <c r="J8" s="347"/>
      <c r="K8" s="347"/>
      <c r="L8" s="347"/>
    </row>
    <row r="9" spans="1:12" x14ac:dyDescent="0.25">
      <c r="A9" s="346">
        <v>8</v>
      </c>
      <c r="B9" s="346">
        <v>600</v>
      </c>
      <c r="C9" s="346">
        <v>25</v>
      </c>
      <c r="D9" s="348">
        <f t="shared" si="0"/>
        <v>15000</v>
      </c>
      <c r="E9" s="348">
        <v>5</v>
      </c>
      <c r="F9" s="348">
        <f t="shared" si="1"/>
        <v>75000</v>
      </c>
      <c r="G9" s="346">
        <f t="shared" si="3"/>
        <v>2900</v>
      </c>
      <c r="H9" s="346">
        <v>25</v>
      </c>
      <c r="I9" s="348">
        <f t="shared" si="2"/>
        <v>72500</v>
      </c>
      <c r="J9" s="347"/>
      <c r="K9" s="347"/>
      <c r="L9" s="347"/>
    </row>
    <row r="10" spans="1:12" x14ac:dyDescent="0.25">
      <c r="A10" s="346">
        <v>9</v>
      </c>
      <c r="B10" s="346">
        <v>150</v>
      </c>
      <c r="C10" s="346">
        <v>25</v>
      </c>
      <c r="D10" s="348">
        <f t="shared" si="0"/>
        <v>3750</v>
      </c>
      <c r="E10" s="348">
        <v>4</v>
      </c>
      <c r="F10" s="348">
        <f t="shared" si="1"/>
        <v>15000</v>
      </c>
      <c r="G10" s="346">
        <f t="shared" si="3"/>
        <v>3050</v>
      </c>
      <c r="H10" s="346">
        <v>25</v>
      </c>
      <c r="I10" s="348">
        <f t="shared" si="2"/>
        <v>76250</v>
      </c>
      <c r="J10" s="347"/>
      <c r="K10" s="347"/>
      <c r="L10" s="347"/>
    </row>
    <row r="11" spans="1:12" x14ac:dyDescent="0.25">
      <c r="A11" s="346">
        <v>10</v>
      </c>
      <c r="B11" s="346">
        <v>250</v>
      </c>
      <c r="C11" s="346">
        <v>25</v>
      </c>
      <c r="D11" s="348">
        <f t="shared" si="0"/>
        <v>6250</v>
      </c>
      <c r="E11" s="348">
        <v>3</v>
      </c>
      <c r="F11" s="348">
        <f t="shared" si="1"/>
        <v>18750</v>
      </c>
      <c r="G11" s="346">
        <f t="shared" si="3"/>
        <v>3300</v>
      </c>
      <c r="H11" s="346">
        <v>25</v>
      </c>
      <c r="I11" s="348">
        <f t="shared" si="2"/>
        <v>82500</v>
      </c>
      <c r="J11" s="347"/>
      <c r="K11" s="347"/>
      <c r="L11" s="347"/>
    </row>
    <row r="12" spans="1:12" x14ac:dyDescent="0.25">
      <c r="A12" s="346">
        <v>11</v>
      </c>
      <c r="B12" s="346">
        <v>300</v>
      </c>
      <c r="C12" s="346">
        <v>25</v>
      </c>
      <c r="D12" s="348">
        <f t="shared" si="0"/>
        <v>7500</v>
      </c>
      <c r="E12" s="348">
        <v>2</v>
      </c>
      <c r="F12" s="348">
        <f t="shared" si="1"/>
        <v>15000</v>
      </c>
      <c r="G12" s="346">
        <f t="shared" si="3"/>
        <v>3600</v>
      </c>
      <c r="H12" s="346">
        <v>25</v>
      </c>
      <c r="I12" s="348">
        <f t="shared" si="2"/>
        <v>90000</v>
      </c>
      <c r="J12" s="347"/>
      <c r="K12" s="347"/>
      <c r="L12" s="347"/>
    </row>
    <row r="13" spans="1:12" x14ac:dyDescent="0.25">
      <c r="A13" s="346">
        <v>12</v>
      </c>
      <c r="B13" s="346">
        <v>100</v>
      </c>
      <c r="C13" s="346">
        <v>25</v>
      </c>
      <c r="D13" s="348">
        <f t="shared" si="0"/>
        <v>2500</v>
      </c>
      <c r="E13" s="348">
        <v>1</v>
      </c>
      <c r="F13" s="348">
        <f t="shared" si="1"/>
        <v>2500</v>
      </c>
      <c r="G13" s="346">
        <f t="shared" si="3"/>
        <v>3700</v>
      </c>
      <c r="H13" s="346">
        <v>25</v>
      </c>
      <c r="I13" s="348">
        <f t="shared" si="2"/>
        <v>92500</v>
      </c>
      <c r="J13" s="347"/>
      <c r="K13" s="347"/>
      <c r="L13" s="347"/>
    </row>
    <row r="14" spans="1:12" x14ac:dyDescent="0.25">
      <c r="B14" s="41">
        <f>SUM(B2:B13)</f>
        <v>3700</v>
      </c>
      <c r="F14" s="349">
        <f>SUM(F2:F13)</f>
        <v>671250</v>
      </c>
      <c r="G14" s="349"/>
      <c r="H14" s="349"/>
      <c r="I14" s="349">
        <f>SUM(I2:I13)</f>
        <v>671250</v>
      </c>
    </row>
    <row r="15" spans="1:12" x14ac:dyDescent="0.25">
      <c r="F15" s="349"/>
      <c r="G15" s="199" t="s">
        <v>581</v>
      </c>
      <c r="H15" s="199" t="s">
        <v>582</v>
      </c>
      <c r="I15" s="349"/>
    </row>
    <row r="16" spans="1:12" x14ac:dyDescent="0.25">
      <c r="F16" s="350">
        <f>F14/6</f>
        <v>111875</v>
      </c>
      <c r="G16" s="349">
        <f>F16*0.25</f>
        <v>27968.75</v>
      </c>
      <c r="H16" s="349">
        <f>F16-G16</f>
        <v>83906.25</v>
      </c>
      <c r="I16" s="349"/>
    </row>
    <row r="17" spans="1:9" x14ac:dyDescent="0.25">
      <c r="F17" s="350">
        <v>112000</v>
      </c>
      <c r="G17" s="349">
        <v>28000</v>
      </c>
      <c r="H17" s="349">
        <v>84000</v>
      </c>
      <c r="I17" s="349">
        <f>G17+H17</f>
        <v>112000</v>
      </c>
    </row>
    <row r="18" spans="1:9" x14ac:dyDescent="0.25">
      <c r="F18" s="350"/>
      <c r="G18" s="349"/>
      <c r="H18" s="349">
        <f>H17*0.1</f>
        <v>8400</v>
      </c>
      <c r="I18" s="349" t="s">
        <v>584</v>
      </c>
    </row>
    <row r="19" spans="1:9" x14ac:dyDescent="0.25">
      <c r="H19" s="349">
        <f>H17-H18</f>
        <v>75600</v>
      </c>
      <c r="I19" t="s">
        <v>583</v>
      </c>
    </row>
    <row r="20" spans="1:9" x14ac:dyDescent="0.25">
      <c r="A20" s="41" t="s">
        <v>282</v>
      </c>
      <c r="B20" t="s">
        <v>580</v>
      </c>
    </row>
    <row r="21" spans="1:9" x14ac:dyDescent="0.25">
      <c r="A21" s="41">
        <v>1</v>
      </c>
      <c r="B21" s="352">
        <f>F14</f>
        <v>671250</v>
      </c>
    </row>
    <row r="22" spans="1:9" x14ac:dyDescent="0.25">
      <c r="A22" s="41">
        <v>2</v>
      </c>
      <c r="B22" s="353">
        <f>B21</f>
        <v>671250</v>
      </c>
      <c r="C22" s="350">
        <f>F14</f>
        <v>671250</v>
      </c>
      <c r="D22" s="358">
        <f>B22+C22</f>
        <v>1342500</v>
      </c>
    </row>
    <row r="23" spans="1:9" x14ac:dyDescent="0.25">
      <c r="A23" s="41">
        <v>3</v>
      </c>
      <c r="B23" s="354">
        <f>B22</f>
        <v>671250</v>
      </c>
      <c r="C23" s="350">
        <f>C22</f>
        <v>671250</v>
      </c>
      <c r="D23" s="350">
        <f>C23</f>
        <v>671250</v>
      </c>
      <c r="E23" s="357">
        <f>D22+D23</f>
        <v>2013750</v>
      </c>
    </row>
    <row r="24" spans="1:9" x14ac:dyDescent="0.25">
      <c r="D24" s="355">
        <f>B21+B22+C22+B23+C23+D23</f>
        <v>4027500</v>
      </c>
      <c r="E24" s="355">
        <f>D24*2</f>
        <v>8055000</v>
      </c>
    </row>
    <row r="25" spans="1:9" x14ac:dyDescent="0.25">
      <c r="D25" s="356">
        <v>0.05</v>
      </c>
      <c r="E25" s="356">
        <f>D25</f>
        <v>0.05</v>
      </c>
    </row>
    <row r="26" spans="1:9" x14ac:dyDescent="0.25">
      <c r="D26" s="350">
        <f>D24*D25</f>
        <v>201375</v>
      </c>
      <c r="E26" s="350">
        <f>E24*E25</f>
        <v>402750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D7:Q54"/>
  <sheetViews>
    <sheetView zoomScale="90" zoomScaleNormal="90" workbookViewId="0"/>
  </sheetViews>
  <sheetFormatPr defaultColWidth="9.140625" defaultRowHeight="15" x14ac:dyDescent="0.25"/>
  <cols>
    <col min="1" max="3" width="9.140625" style="281"/>
    <col min="4" max="4" width="10.140625" style="281" bestFit="1" customWidth="1"/>
    <col min="5" max="5" width="9.140625" style="281"/>
    <col min="6" max="6" width="10.140625" style="281" bestFit="1" customWidth="1"/>
    <col min="7" max="7" width="9.140625" style="281"/>
    <col min="8" max="8" width="12.140625" style="281" bestFit="1" customWidth="1"/>
    <col min="9" max="9" width="9.140625" style="281"/>
    <col min="10" max="10" width="2.140625" style="281" customWidth="1"/>
    <col min="11" max="11" width="15" style="281" customWidth="1"/>
    <col min="12" max="12" width="2.140625" style="281" customWidth="1"/>
    <col min="13" max="13" width="10.5703125" style="281" customWidth="1"/>
    <col min="14" max="14" width="3.42578125" style="281" customWidth="1"/>
    <col min="15" max="15" width="2.28515625" style="281" customWidth="1"/>
    <col min="16" max="16" width="9.140625" style="281"/>
    <col min="17" max="17" width="8.5703125" style="281" customWidth="1"/>
    <col min="18" max="16384" width="9.140625" style="281"/>
  </cols>
  <sheetData>
    <row r="7" spans="4:17" x14ac:dyDescent="0.25">
      <c r="D7" s="283"/>
    </row>
    <row r="9" spans="4:17" x14ac:dyDescent="0.25">
      <c r="D9" s="285"/>
    </row>
    <row r="11" spans="4:17" x14ac:dyDescent="0.25">
      <c r="H11" s="286">
        <v>3000</v>
      </c>
    </row>
    <row r="12" spans="4:17" ht="15" customHeight="1" x14ac:dyDescent="0.25">
      <c r="H12" s="448">
        <f>H11</f>
        <v>3000</v>
      </c>
      <c r="I12" s="449"/>
      <c r="J12" s="291"/>
      <c r="K12" s="452">
        <f>L12</f>
        <v>30</v>
      </c>
      <c r="L12" s="286">
        <v>30</v>
      </c>
      <c r="M12" s="443">
        <f>K12*12</f>
        <v>360</v>
      </c>
      <c r="N12" s="444"/>
      <c r="P12" s="443">
        <f>M12*H12</f>
        <v>1080000</v>
      </c>
      <c r="Q12" s="444"/>
    </row>
    <row r="13" spans="4:17" ht="15" customHeight="1" x14ac:dyDescent="0.25">
      <c r="H13" s="484"/>
      <c r="I13" s="485"/>
      <c r="J13" s="291"/>
      <c r="K13" s="482"/>
      <c r="M13" s="480"/>
      <c r="N13" s="481"/>
      <c r="P13" s="480"/>
      <c r="Q13" s="481"/>
    </row>
    <row r="14" spans="4:17" x14ac:dyDescent="0.25">
      <c r="H14" s="450"/>
      <c r="I14" s="451"/>
      <c r="K14" s="483"/>
      <c r="M14" s="445"/>
      <c r="N14" s="446"/>
      <c r="P14" s="445"/>
      <c r="Q14" s="446"/>
    </row>
    <row r="15" spans="4:17" x14ac:dyDescent="0.25">
      <c r="K15" s="286">
        <v>15000</v>
      </c>
      <c r="L15" s="286"/>
      <c r="M15" s="286"/>
    </row>
    <row r="16" spans="4:17" ht="15.75" x14ac:dyDescent="0.25">
      <c r="H16" s="448">
        <f>K15</f>
        <v>15000</v>
      </c>
      <c r="I16" s="449"/>
      <c r="J16" s="291"/>
      <c r="K16" s="452">
        <f>L16</f>
        <v>30</v>
      </c>
      <c r="L16" s="287">
        <v>30</v>
      </c>
      <c r="M16" s="443">
        <f>K16*12</f>
        <v>360</v>
      </c>
      <c r="N16" s="444"/>
      <c r="P16" s="443">
        <f>M16*H16</f>
        <v>5400000</v>
      </c>
      <c r="Q16" s="444"/>
    </row>
    <row r="17" spans="8:17" ht="15" customHeight="1" x14ac:dyDescent="0.25">
      <c r="H17" s="484"/>
      <c r="I17" s="485"/>
      <c r="J17" s="291"/>
      <c r="K17" s="482"/>
      <c r="L17" s="287"/>
      <c r="M17" s="480"/>
      <c r="N17" s="481"/>
      <c r="P17" s="480"/>
      <c r="Q17" s="481"/>
    </row>
    <row r="18" spans="8:17" ht="15" customHeight="1" x14ac:dyDescent="0.25">
      <c r="H18" s="450"/>
      <c r="I18" s="451"/>
      <c r="K18" s="483"/>
      <c r="L18" s="286"/>
      <c r="M18" s="445"/>
      <c r="N18" s="446"/>
      <c r="P18" s="445"/>
      <c r="Q18" s="446"/>
    </row>
    <row r="19" spans="8:17" x14ac:dyDescent="0.25">
      <c r="K19" s="286">
        <v>30000</v>
      </c>
      <c r="L19" s="286">
        <v>1</v>
      </c>
      <c r="M19" s="286"/>
    </row>
    <row r="20" spans="8:17" ht="15.75" x14ac:dyDescent="0.25">
      <c r="H20" s="448">
        <f>K19</f>
        <v>30000</v>
      </c>
      <c r="I20" s="449"/>
      <c r="J20" s="291"/>
      <c r="K20" s="452">
        <f>L20</f>
        <v>30</v>
      </c>
      <c r="L20" s="286">
        <v>30</v>
      </c>
      <c r="M20" s="443">
        <f>K20*12</f>
        <v>360</v>
      </c>
      <c r="N20" s="444"/>
      <c r="P20" s="443">
        <f>H20*M20</f>
        <v>10800000</v>
      </c>
      <c r="Q20" s="444"/>
    </row>
    <row r="21" spans="8:17" ht="15.75" x14ac:dyDescent="0.25">
      <c r="H21" s="484"/>
      <c r="I21" s="485"/>
      <c r="J21" s="291"/>
      <c r="K21" s="482"/>
      <c r="L21" s="286"/>
      <c r="M21" s="480"/>
      <c r="N21" s="481"/>
      <c r="P21" s="480"/>
      <c r="Q21" s="481"/>
    </row>
    <row r="22" spans="8:17" ht="15" customHeight="1" x14ac:dyDescent="0.25">
      <c r="H22" s="450"/>
      <c r="I22" s="451"/>
      <c r="K22" s="483"/>
      <c r="L22" s="286"/>
      <c r="M22" s="445"/>
      <c r="N22" s="446"/>
      <c r="P22" s="445"/>
      <c r="Q22" s="446"/>
    </row>
    <row r="23" spans="8:17" ht="15" customHeight="1" x14ac:dyDescent="0.25">
      <c r="K23" s="286">
        <v>40000</v>
      </c>
      <c r="L23" s="286"/>
      <c r="M23" s="286"/>
    </row>
    <row r="24" spans="8:17" ht="15.75" x14ac:dyDescent="0.25">
      <c r="H24" s="448">
        <f>K23</f>
        <v>40000</v>
      </c>
      <c r="I24" s="449"/>
      <c r="J24" s="291"/>
      <c r="K24" s="452">
        <f>L24</f>
        <v>30</v>
      </c>
      <c r="L24" s="286">
        <v>30</v>
      </c>
      <c r="M24" s="443">
        <f>K24*12</f>
        <v>360</v>
      </c>
      <c r="N24" s="444"/>
      <c r="P24" s="443">
        <f>H24*M24</f>
        <v>14400000</v>
      </c>
      <c r="Q24" s="444"/>
    </row>
    <row r="25" spans="8:17" ht="15.75" x14ac:dyDescent="0.25">
      <c r="H25" s="484"/>
      <c r="I25" s="485"/>
      <c r="J25" s="291"/>
      <c r="K25" s="482"/>
      <c r="L25" s="286"/>
      <c r="M25" s="480"/>
      <c r="N25" s="481"/>
      <c r="P25" s="480"/>
      <c r="Q25" s="481"/>
    </row>
    <row r="26" spans="8:17" x14ac:dyDescent="0.25">
      <c r="H26" s="450"/>
      <c r="I26" s="451"/>
      <c r="K26" s="483"/>
      <c r="L26" s="286"/>
      <c r="M26" s="445"/>
      <c r="N26" s="446"/>
      <c r="P26" s="445"/>
      <c r="Q26" s="446"/>
    </row>
    <row r="27" spans="8:17" ht="15" customHeight="1" x14ac:dyDescent="0.25"/>
    <row r="28" spans="8:17" ht="15" customHeight="1" x14ac:dyDescent="0.25">
      <c r="H28" s="486">
        <f>K28</f>
        <v>0</v>
      </c>
      <c r="I28" s="487"/>
      <c r="J28" s="290"/>
      <c r="K28" s="286">
        <v>0</v>
      </c>
    </row>
    <row r="29" spans="8:17" ht="15" customHeight="1" x14ac:dyDescent="0.25">
      <c r="H29" s="488"/>
      <c r="I29" s="489"/>
      <c r="J29" s="290"/>
    </row>
    <row r="30" spans="8:17" x14ac:dyDescent="0.25">
      <c r="H30" s="490"/>
      <c r="I30" s="491"/>
    </row>
    <row r="31" spans="8:17" ht="18.75" x14ac:dyDescent="0.25">
      <c r="H31" s="290"/>
      <c r="I31" s="290"/>
    </row>
    <row r="33" spans="8:9" ht="15" customHeight="1" x14ac:dyDescent="0.25">
      <c r="H33" s="433">
        <f>P24*H28</f>
        <v>0</v>
      </c>
      <c r="I33" s="434"/>
    </row>
    <row r="34" spans="8:9" ht="15" customHeight="1" x14ac:dyDescent="0.25">
      <c r="H34" s="458"/>
      <c r="I34" s="459"/>
    </row>
    <row r="35" spans="8:9" ht="15" customHeight="1" x14ac:dyDescent="0.25">
      <c r="H35" s="435"/>
      <c r="I35" s="436"/>
    </row>
    <row r="40" spans="8:9" ht="15" customHeight="1" x14ac:dyDescent="0.25"/>
    <row r="41" spans="8:9" ht="15" customHeight="1" x14ac:dyDescent="0.25"/>
    <row r="42" spans="8:9" ht="15" customHeight="1" x14ac:dyDescent="0.25"/>
    <row r="44" spans="8:9" ht="15" customHeight="1" x14ac:dyDescent="0.25"/>
    <row r="45" spans="8:9" ht="15" customHeight="1" x14ac:dyDescent="0.25"/>
    <row r="46" spans="8:9" ht="15" customHeight="1" x14ac:dyDescent="0.25"/>
    <row r="48" spans="8:9" ht="15" customHeight="1" x14ac:dyDescent="0.25"/>
    <row r="49" ht="15" customHeight="1" x14ac:dyDescent="0.25"/>
    <row r="50" ht="15" customHeight="1" x14ac:dyDescent="0.25"/>
    <row r="52" ht="15" customHeight="1" x14ac:dyDescent="0.25"/>
    <row r="53" ht="15" customHeight="1" x14ac:dyDescent="0.25"/>
    <row r="54" ht="15" customHeight="1" x14ac:dyDescent="0.25"/>
  </sheetData>
  <mergeCells count="18">
    <mergeCell ref="K20:K22"/>
    <mergeCell ref="K24:K26"/>
    <mergeCell ref="K12:K14"/>
    <mergeCell ref="K16:K18"/>
    <mergeCell ref="H33:I35"/>
    <mergeCell ref="H12:I14"/>
    <mergeCell ref="H16:I18"/>
    <mergeCell ref="H20:I22"/>
    <mergeCell ref="H24:I26"/>
    <mergeCell ref="H28:I30"/>
    <mergeCell ref="M12:N14"/>
    <mergeCell ref="M16:N18"/>
    <mergeCell ref="M20:N22"/>
    <mergeCell ref="M24:N26"/>
    <mergeCell ref="P12:Q14"/>
    <mergeCell ref="P16:Q18"/>
    <mergeCell ref="P20:Q22"/>
    <mergeCell ref="P24:Q26"/>
  </mergeCells>
  <pageMargins left="0.7" right="0.7" top="0.75" bottom="0.75" header="0.3" footer="0.3"/>
  <pageSetup orientation="portrait" horizontalDpi="0" verticalDpi="0" r:id="rId1"/>
  <drawing r:id="rId2"/>
  <legacyDrawing r:id="rId3"/>
  <controls>
    <mc:AlternateContent xmlns:mc="http://schemas.openxmlformats.org/markup-compatibility/2006">
      <mc:Choice Requires="x14">
        <control shapeId="56330" r:id="rId4" name="ScrollBar1">
          <controlPr defaultSize="0" autoLine="0" autoPict="0" linkedCell="K28" r:id="rId5">
            <anchor moveWithCells="1">
              <from>
                <xdr:col>9</xdr:col>
                <xdr:colOff>0</xdr:colOff>
                <xdr:row>26</xdr:row>
                <xdr:rowOff>180975</xdr:rowOff>
              </from>
              <to>
                <xdr:col>10</xdr:col>
                <xdr:colOff>38100</xdr:colOff>
                <xdr:row>30</xdr:row>
                <xdr:rowOff>19050</xdr:rowOff>
              </to>
            </anchor>
          </controlPr>
        </control>
      </mc:Choice>
      <mc:Fallback>
        <control shapeId="56330" r:id="rId4" name="ScrollBar1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F7:R53"/>
  <sheetViews>
    <sheetView zoomScale="90" zoomScaleNormal="90" workbookViewId="0">
      <selection activeCell="C9" sqref="C9"/>
    </sheetView>
  </sheetViews>
  <sheetFormatPr defaultColWidth="9.140625" defaultRowHeight="15" x14ac:dyDescent="0.25"/>
  <cols>
    <col min="1" max="5" width="9.140625" style="281"/>
    <col min="6" max="6" width="10.140625" style="281" bestFit="1" customWidth="1"/>
    <col min="7" max="7" width="9.140625" style="281"/>
    <col min="8" max="8" width="10.140625" style="281" bestFit="1" customWidth="1"/>
    <col min="9" max="9" width="9.140625" style="281"/>
    <col min="10" max="10" width="12.140625" style="281" bestFit="1" customWidth="1"/>
    <col min="11" max="11" width="9.140625" style="281"/>
    <col min="12" max="12" width="15" style="281" customWidth="1"/>
    <col min="13" max="13" width="3.5703125" style="281" customWidth="1"/>
    <col min="14" max="14" width="10.140625" style="281" bestFit="1" customWidth="1"/>
    <col min="15" max="15" width="3.42578125" style="281" customWidth="1"/>
    <col min="16" max="16" width="1.85546875" style="281" customWidth="1"/>
    <col min="17" max="17" width="9.140625" style="281"/>
    <col min="18" max="18" width="8.5703125" style="281" customWidth="1"/>
    <col min="19" max="16384" width="9.140625" style="281"/>
  </cols>
  <sheetData>
    <row r="7" spans="6:18" x14ac:dyDescent="0.25">
      <c r="F7" s="283"/>
    </row>
    <row r="9" spans="6:18" x14ac:dyDescent="0.25">
      <c r="F9" s="285"/>
    </row>
    <row r="11" spans="6:18" x14ac:dyDescent="0.25">
      <c r="J11" s="286">
        <v>3000</v>
      </c>
    </row>
    <row r="12" spans="6:18" ht="15" customHeight="1" x14ac:dyDescent="0.25">
      <c r="J12" s="448">
        <f>J11</f>
        <v>3000</v>
      </c>
      <c r="K12" s="449"/>
      <c r="L12" s="452">
        <f>M12</f>
        <v>30</v>
      </c>
      <c r="M12" s="286">
        <v>30</v>
      </c>
      <c r="N12" s="443">
        <f>L12*12</f>
        <v>360</v>
      </c>
      <c r="O12" s="444"/>
      <c r="Q12" s="443">
        <f>N12*J12</f>
        <v>1080000</v>
      </c>
      <c r="R12" s="444"/>
    </row>
    <row r="13" spans="6:18" ht="15" customHeight="1" x14ac:dyDescent="0.25">
      <c r="J13" s="450"/>
      <c r="K13" s="451"/>
      <c r="L13" s="453"/>
      <c r="N13" s="445"/>
      <c r="O13" s="446"/>
      <c r="Q13" s="445"/>
      <c r="R13" s="446"/>
    </row>
    <row r="15" spans="6:18" x14ac:dyDescent="0.25">
      <c r="L15" s="286">
        <v>15000</v>
      </c>
      <c r="M15" s="286"/>
      <c r="N15" s="286"/>
    </row>
    <row r="16" spans="6:18" x14ac:dyDescent="0.25">
      <c r="J16" s="448">
        <f>L15</f>
        <v>15000</v>
      </c>
      <c r="K16" s="449"/>
      <c r="L16" s="452">
        <f>M16</f>
        <v>30</v>
      </c>
      <c r="M16" s="287">
        <v>30</v>
      </c>
      <c r="N16" s="443">
        <f>L16*12</f>
        <v>360</v>
      </c>
      <c r="O16" s="444"/>
      <c r="Q16" s="443">
        <f>N16*J16</f>
        <v>5400000</v>
      </c>
      <c r="R16" s="444"/>
    </row>
    <row r="17" spans="10:18" ht="15" customHeight="1" x14ac:dyDescent="0.25">
      <c r="J17" s="450"/>
      <c r="K17" s="451"/>
      <c r="L17" s="453"/>
      <c r="M17" s="287"/>
      <c r="N17" s="445"/>
      <c r="O17" s="446"/>
      <c r="Q17" s="445"/>
      <c r="R17" s="446"/>
    </row>
    <row r="18" spans="10:18" ht="15" customHeight="1" x14ac:dyDescent="0.25">
      <c r="L18" s="286"/>
      <c r="M18" s="286"/>
      <c r="N18" s="286"/>
    </row>
    <row r="19" spans="10:18" x14ac:dyDescent="0.25">
      <c r="L19" s="286">
        <v>30000</v>
      </c>
      <c r="M19" s="286">
        <v>1</v>
      </c>
      <c r="N19" s="286"/>
    </row>
    <row r="20" spans="10:18" x14ac:dyDescent="0.25">
      <c r="J20" s="448">
        <f>L19</f>
        <v>30000</v>
      </c>
      <c r="K20" s="449"/>
      <c r="L20" s="452">
        <f>M20</f>
        <v>30</v>
      </c>
      <c r="M20" s="286">
        <v>30</v>
      </c>
      <c r="N20" s="443">
        <f>L20*12</f>
        <v>360</v>
      </c>
      <c r="O20" s="444"/>
      <c r="Q20" s="443">
        <f>J20*N20</f>
        <v>10800000</v>
      </c>
      <c r="R20" s="444"/>
    </row>
    <row r="21" spans="10:18" x14ac:dyDescent="0.25">
      <c r="J21" s="450"/>
      <c r="K21" s="451"/>
      <c r="L21" s="453"/>
      <c r="M21" s="286"/>
      <c r="N21" s="445"/>
      <c r="O21" s="446"/>
      <c r="Q21" s="445"/>
      <c r="R21" s="446"/>
    </row>
    <row r="22" spans="10:18" ht="15" customHeight="1" x14ac:dyDescent="0.25">
      <c r="M22" s="286"/>
      <c r="N22" s="286"/>
    </row>
    <row r="23" spans="10:18" ht="15" customHeight="1" x14ac:dyDescent="0.25">
      <c r="L23" s="286">
        <v>40000</v>
      </c>
      <c r="M23" s="286"/>
      <c r="N23" s="286"/>
    </row>
    <row r="24" spans="10:18" x14ac:dyDescent="0.25">
      <c r="J24" s="448">
        <f>L23</f>
        <v>40000</v>
      </c>
      <c r="K24" s="449"/>
      <c r="L24" s="452">
        <f>M24</f>
        <v>30</v>
      </c>
      <c r="M24" s="286">
        <v>30</v>
      </c>
      <c r="N24" s="443">
        <f>L24*12</f>
        <v>360</v>
      </c>
      <c r="O24" s="444"/>
      <c r="Q24" s="443">
        <f>J24*N24</f>
        <v>14400000</v>
      </c>
      <c r="R24" s="444"/>
    </row>
    <row r="25" spans="10:18" x14ac:dyDescent="0.25">
      <c r="J25" s="450"/>
      <c r="K25" s="451"/>
      <c r="L25" s="453"/>
      <c r="M25" s="286"/>
      <c r="N25" s="445"/>
      <c r="O25" s="446"/>
      <c r="Q25" s="445"/>
      <c r="R25" s="446"/>
    </row>
    <row r="26" spans="10:18" x14ac:dyDescent="0.25">
      <c r="L26" s="286"/>
      <c r="M26" s="286"/>
      <c r="N26" s="286"/>
    </row>
    <row r="27" spans="10:18" ht="15" customHeight="1" x14ac:dyDescent="0.25"/>
    <row r="28" spans="10:18" ht="15" customHeight="1" x14ac:dyDescent="0.25">
      <c r="J28" s="486">
        <f>L28</f>
        <v>10</v>
      </c>
      <c r="K28" s="487"/>
      <c r="L28" s="286">
        <v>10</v>
      </c>
    </row>
    <row r="29" spans="10:18" ht="15" customHeight="1" x14ac:dyDescent="0.25">
      <c r="J29" s="490"/>
      <c r="K29" s="491"/>
    </row>
    <row r="32" spans="10:18" ht="15" customHeight="1" x14ac:dyDescent="0.25">
      <c r="J32" s="433">
        <f>Q24*J28</f>
        <v>144000000</v>
      </c>
      <c r="K32" s="434"/>
    </row>
    <row r="33" spans="10:11" ht="15" customHeight="1" x14ac:dyDescent="0.25">
      <c r="J33" s="458"/>
      <c r="K33" s="459"/>
    </row>
    <row r="34" spans="10:11" ht="15" customHeight="1" x14ac:dyDescent="0.25">
      <c r="J34" s="435"/>
      <c r="K34" s="436"/>
    </row>
    <row r="39" spans="10:11" ht="15" customHeight="1" x14ac:dyDescent="0.25"/>
    <row r="40" spans="10:11" ht="15" customHeight="1" x14ac:dyDescent="0.25"/>
    <row r="41" spans="10:11" ht="15" customHeight="1" x14ac:dyDescent="0.25"/>
    <row r="43" spans="10:11" ht="15" customHeight="1" x14ac:dyDescent="0.25"/>
    <row r="44" spans="10:11" ht="15" customHeight="1" x14ac:dyDescent="0.25"/>
    <row r="45" spans="10:11" ht="15" customHeight="1" x14ac:dyDescent="0.25"/>
    <row r="47" spans="10:11" ht="15" customHeight="1" x14ac:dyDescent="0.25"/>
    <row r="48" spans="10:11" ht="15" customHeight="1" x14ac:dyDescent="0.25"/>
    <row r="49" ht="15" customHeight="1" x14ac:dyDescent="0.25"/>
    <row r="51" ht="15" customHeight="1" x14ac:dyDescent="0.25"/>
    <row r="52" ht="15" customHeight="1" x14ac:dyDescent="0.25"/>
    <row r="53" ht="15" customHeight="1" x14ac:dyDescent="0.25"/>
  </sheetData>
  <mergeCells count="18">
    <mergeCell ref="J12:K13"/>
    <mergeCell ref="L12:L13"/>
    <mergeCell ref="N12:O13"/>
    <mergeCell ref="Q12:R13"/>
    <mergeCell ref="J16:K17"/>
    <mergeCell ref="L16:L17"/>
    <mergeCell ref="N16:O17"/>
    <mergeCell ref="Q16:R17"/>
    <mergeCell ref="Q20:R21"/>
    <mergeCell ref="J24:K25"/>
    <mergeCell ref="L24:L25"/>
    <mergeCell ref="N24:O25"/>
    <mergeCell ref="Q24:R25"/>
    <mergeCell ref="J28:K29"/>
    <mergeCell ref="J32:K34"/>
    <mergeCell ref="J20:K21"/>
    <mergeCell ref="L20:L21"/>
    <mergeCell ref="N20:O21"/>
  </mergeCells>
  <pageMargins left="0.7" right="0.7" top="0.75" bottom="0.75" header="0.3" footer="0.3"/>
  <pageSetup orientation="portrait" horizontalDpi="0" verticalDpi="0" r:id="rId1"/>
  <drawing r:id="rId2"/>
  <legacyDrawing r:id="rId3"/>
  <controls>
    <mc:AlternateContent xmlns:mc="http://schemas.openxmlformats.org/markup-compatibility/2006">
      <mc:Choice Requires="x14">
        <control shapeId="55297" r:id="rId4" name="ScrollBar2">
          <controlPr defaultSize="0" autoLine="0" linkedCell="J11" r:id="rId5">
            <anchor moveWithCells="1">
              <from>
                <xdr:col>9</xdr:col>
                <xdr:colOff>9525</xdr:colOff>
                <xdr:row>13</xdr:row>
                <xdr:rowOff>19050</xdr:rowOff>
              </from>
              <to>
                <xdr:col>11</xdr:col>
                <xdr:colOff>9525</xdr:colOff>
                <xdr:row>14</xdr:row>
                <xdr:rowOff>38100</xdr:rowOff>
              </to>
            </anchor>
          </controlPr>
        </control>
      </mc:Choice>
      <mc:Fallback>
        <control shapeId="55297" r:id="rId4" name="ScrollBar2"/>
      </mc:Fallback>
    </mc:AlternateContent>
    <mc:AlternateContent xmlns:mc="http://schemas.openxmlformats.org/markup-compatibility/2006">
      <mc:Choice Requires="x14">
        <control shapeId="55298" r:id="rId6" name="ScrollBar3">
          <controlPr defaultSize="0" autoLine="0" linkedCell="L15" r:id="rId7">
            <anchor moveWithCells="1">
              <from>
                <xdr:col>9</xdr:col>
                <xdr:colOff>9525</xdr:colOff>
                <xdr:row>16</xdr:row>
                <xdr:rowOff>180975</xdr:rowOff>
              </from>
              <to>
                <xdr:col>11</xdr:col>
                <xdr:colOff>9525</xdr:colOff>
                <xdr:row>18</xdr:row>
                <xdr:rowOff>47625</xdr:rowOff>
              </to>
            </anchor>
          </controlPr>
        </control>
      </mc:Choice>
      <mc:Fallback>
        <control shapeId="55298" r:id="rId6" name="ScrollBar3"/>
      </mc:Fallback>
    </mc:AlternateContent>
    <mc:AlternateContent xmlns:mc="http://schemas.openxmlformats.org/markup-compatibility/2006">
      <mc:Choice Requires="x14">
        <control shapeId="55299" r:id="rId8" name="ScrollBar4">
          <controlPr defaultSize="0" autoLine="0" linkedCell="L19" r:id="rId7">
            <anchor moveWithCells="1">
              <from>
                <xdr:col>9</xdr:col>
                <xdr:colOff>9525</xdr:colOff>
                <xdr:row>21</xdr:row>
                <xdr:rowOff>0</xdr:rowOff>
              </from>
              <to>
                <xdr:col>11</xdr:col>
                <xdr:colOff>9525</xdr:colOff>
                <xdr:row>22</xdr:row>
                <xdr:rowOff>57150</xdr:rowOff>
              </to>
            </anchor>
          </controlPr>
        </control>
      </mc:Choice>
      <mc:Fallback>
        <control shapeId="55299" r:id="rId8" name="ScrollBar4"/>
      </mc:Fallback>
    </mc:AlternateContent>
    <mc:AlternateContent xmlns:mc="http://schemas.openxmlformats.org/markup-compatibility/2006">
      <mc:Choice Requires="x14">
        <control shapeId="55300" r:id="rId9" name="ScrollBar5">
          <controlPr defaultSize="0" autoLine="0" linkedCell="L23" r:id="rId10">
            <anchor moveWithCells="1">
              <from>
                <xdr:col>8</xdr:col>
                <xdr:colOff>600075</xdr:colOff>
                <xdr:row>25</xdr:row>
                <xdr:rowOff>19050</xdr:rowOff>
              </from>
              <to>
                <xdr:col>11</xdr:col>
                <xdr:colOff>9525</xdr:colOff>
                <xdr:row>26</xdr:row>
                <xdr:rowOff>66675</xdr:rowOff>
              </to>
            </anchor>
          </controlPr>
        </control>
      </mc:Choice>
      <mc:Fallback>
        <control shapeId="55300" r:id="rId9" name="ScrollBar5"/>
      </mc:Fallback>
    </mc:AlternateContent>
    <mc:AlternateContent xmlns:mc="http://schemas.openxmlformats.org/markup-compatibility/2006">
      <mc:Choice Requires="x14">
        <control shapeId="55301" r:id="rId11" name="ScrollBar7">
          <controlPr defaultSize="0" autoLine="0" linkedCell="M12" r:id="rId12">
            <anchor moveWithCells="1">
              <from>
                <xdr:col>11</xdr:col>
                <xdr:colOff>47625</xdr:colOff>
                <xdr:row>13</xdr:row>
                <xdr:rowOff>0</xdr:rowOff>
              </from>
              <to>
                <xdr:col>12</xdr:col>
                <xdr:colOff>9525</xdr:colOff>
                <xdr:row>14</xdr:row>
                <xdr:rowOff>57150</xdr:rowOff>
              </to>
            </anchor>
          </controlPr>
        </control>
      </mc:Choice>
      <mc:Fallback>
        <control shapeId="55301" r:id="rId11" name="ScrollBar7"/>
      </mc:Fallback>
    </mc:AlternateContent>
    <mc:AlternateContent xmlns:mc="http://schemas.openxmlformats.org/markup-compatibility/2006">
      <mc:Choice Requires="x14">
        <control shapeId="55302" r:id="rId13" name="ScrollBar8">
          <controlPr defaultSize="0" autoLine="0" linkedCell="M16" r:id="rId14">
            <anchor moveWithCells="1">
              <from>
                <xdr:col>11</xdr:col>
                <xdr:colOff>57150</xdr:colOff>
                <xdr:row>17</xdr:row>
                <xdr:rowOff>19050</xdr:rowOff>
              </from>
              <to>
                <xdr:col>12</xdr:col>
                <xdr:colOff>0</xdr:colOff>
                <xdr:row>18</xdr:row>
                <xdr:rowOff>66675</xdr:rowOff>
              </to>
            </anchor>
          </controlPr>
        </control>
      </mc:Choice>
      <mc:Fallback>
        <control shapeId="55302" r:id="rId13" name="ScrollBar8"/>
      </mc:Fallback>
    </mc:AlternateContent>
    <mc:AlternateContent xmlns:mc="http://schemas.openxmlformats.org/markup-compatibility/2006">
      <mc:Choice Requires="x14">
        <control shapeId="55303" r:id="rId15" name="ScrollBar9">
          <controlPr defaultSize="0" autoLine="0" linkedCell="M20" r:id="rId16">
            <anchor moveWithCells="1">
              <from>
                <xdr:col>11</xdr:col>
                <xdr:colOff>57150</xdr:colOff>
                <xdr:row>21</xdr:row>
                <xdr:rowOff>19050</xdr:rowOff>
              </from>
              <to>
                <xdr:col>11</xdr:col>
                <xdr:colOff>990600</xdr:colOff>
                <xdr:row>22</xdr:row>
                <xdr:rowOff>66675</xdr:rowOff>
              </to>
            </anchor>
          </controlPr>
        </control>
      </mc:Choice>
      <mc:Fallback>
        <control shapeId="55303" r:id="rId15" name="ScrollBar9"/>
      </mc:Fallback>
    </mc:AlternateContent>
    <mc:AlternateContent xmlns:mc="http://schemas.openxmlformats.org/markup-compatibility/2006">
      <mc:Choice Requires="x14">
        <control shapeId="55304" r:id="rId17" name="ScrollBar10">
          <controlPr defaultSize="0" autoLine="0" linkedCell="M24" r:id="rId18">
            <anchor moveWithCells="1">
              <from>
                <xdr:col>11</xdr:col>
                <xdr:colOff>57150</xdr:colOff>
                <xdr:row>25</xdr:row>
                <xdr:rowOff>19050</xdr:rowOff>
              </from>
              <to>
                <xdr:col>11</xdr:col>
                <xdr:colOff>981075</xdr:colOff>
                <xdr:row>26</xdr:row>
                <xdr:rowOff>66675</xdr:rowOff>
              </to>
            </anchor>
          </controlPr>
        </control>
      </mc:Choice>
      <mc:Fallback>
        <control shapeId="55304" r:id="rId17" name="ScrollBar10"/>
      </mc:Fallback>
    </mc:AlternateContent>
    <mc:AlternateContent xmlns:mc="http://schemas.openxmlformats.org/markup-compatibility/2006">
      <mc:Choice Requires="x14">
        <control shapeId="55305" r:id="rId19" name="ScrollBar11">
          <controlPr defaultSize="0" autoLine="0" linkedCell="L28" r:id="rId20">
            <anchor moveWithCells="1">
              <from>
                <xdr:col>9</xdr:col>
                <xdr:colOff>0</xdr:colOff>
                <xdr:row>29</xdr:row>
                <xdr:rowOff>9525</xdr:rowOff>
              </from>
              <to>
                <xdr:col>11</xdr:col>
                <xdr:colOff>9525</xdr:colOff>
                <xdr:row>30</xdr:row>
                <xdr:rowOff>57150</xdr:rowOff>
              </to>
            </anchor>
          </controlPr>
        </control>
      </mc:Choice>
      <mc:Fallback>
        <control shapeId="55305" r:id="rId19" name="ScrollBar11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F7:R53"/>
  <sheetViews>
    <sheetView zoomScale="90" zoomScaleNormal="90" workbookViewId="0">
      <selection activeCell="V30" sqref="V30"/>
    </sheetView>
  </sheetViews>
  <sheetFormatPr defaultColWidth="9.140625" defaultRowHeight="15" x14ac:dyDescent="0.25"/>
  <cols>
    <col min="1" max="5" width="9.140625" style="281"/>
    <col min="6" max="6" width="10.140625" style="281" bestFit="1" customWidth="1"/>
    <col min="7" max="7" width="9.140625" style="281"/>
    <col min="8" max="8" width="10.140625" style="281" bestFit="1" customWidth="1"/>
    <col min="9" max="9" width="9.140625" style="281"/>
    <col min="10" max="10" width="12.140625" style="281" bestFit="1" customWidth="1"/>
    <col min="11" max="11" width="9.140625" style="281"/>
    <col min="12" max="12" width="15" style="281" customWidth="1"/>
    <col min="13" max="13" width="3.5703125" style="281" customWidth="1"/>
    <col min="14" max="14" width="10.140625" style="281" bestFit="1" customWidth="1"/>
    <col min="15" max="15" width="3.42578125" style="281" customWidth="1"/>
    <col min="16" max="16" width="1.85546875" style="281" customWidth="1"/>
    <col min="17" max="17" width="9.140625" style="281"/>
    <col min="18" max="18" width="8.5703125" style="281" customWidth="1"/>
    <col min="19" max="16384" width="9.140625" style="281"/>
  </cols>
  <sheetData>
    <row r="7" spans="6:18" x14ac:dyDescent="0.25">
      <c r="F7" s="283"/>
    </row>
    <row r="9" spans="6:18" x14ac:dyDescent="0.25">
      <c r="F9" s="285"/>
    </row>
    <row r="11" spans="6:18" x14ac:dyDescent="0.25">
      <c r="J11" s="286">
        <v>3000</v>
      </c>
    </row>
    <row r="12" spans="6:18" ht="15" customHeight="1" x14ac:dyDescent="0.25">
      <c r="J12" s="448">
        <f>J11</f>
        <v>3000</v>
      </c>
      <c r="K12" s="449"/>
      <c r="L12" s="452">
        <f>M12</f>
        <v>30</v>
      </c>
      <c r="M12" s="286">
        <v>30</v>
      </c>
      <c r="N12" s="443">
        <f>L12*12</f>
        <v>360</v>
      </c>
      <c r="O12" s="444"/>
      <c r="Q12" s="443">
        <f>N12*J12</f>
        <v>1080000</v>
      </c>
      <c r="R12" s="444"/>
    </row>
    <row r="13" spans="6:18" ht="15" customHeight="1" x14ac:dyDescent="0.25">
      <c r="J13" s="450"/>
      <c r="K13" s="451"/>
      <c r="L13" s="453"/>
      <c r="N13" s="445"/>
      <c r="O13" s="446"/>
      <c r="Q13" s="445"/>
      <c r="R13" s="446"/>
    </row>
    <row r="15" spans="6:18" x14ac:dyDescent="0.25">
      <c r="L15" s="286">
        <v>15000</v>
      </c>
      <c r="M15" s="286"/>
      <c r="N15" s="286"/>
    </row>
    <row r="16" spans="6:18" x14ac:dyDescent="0.25">
      <c r="J16" s="448">
        <f>L15</f>
        <v>15000</v>
      </c>
      <c r="K16" s="449"/>
      <c r="L16" s="452">
        <f>M16</f>
        <v>30</v>
      </c>
      <c r="M16" s="287">
        <v>30</v>
      </c>
      <c r="N16" s="443">
        <f>L16*12</f>
        <v>360</v>
      </c>
      <c r="O16" s="444"/>
      <c r="Q16" s="443">
        <f>N16*J16</f>
        <v>5400000</v>
      </c>
      <c r="R16" s="444"/>
    </row>
    <row r="17" spans="10:18" ht="15" customHeight="1" x14ac:dyDescent="0.25">
      <c r="J17" s="450"/>
      <c r="K17" s="451"/>
      <c r="L17" s="453"/>
      <c r="M17" s="287"/>
      <c r="N17" s="445"/>
      <c r="O17" s="446"/>
      <c r="Q17" s="445"/>
      <c r="R17" s="446"/>
    </row>
    <row r="18" spans="10:18" ht="15" customHeight="1" x14ac:dyDescent="0.25">
      <c r="L18" s="286"/>
      <c r="M18" s="286"/>
      <c r="N18" s="286"/>
    </row>
    <row r="19" spans="10:18" x14ac:dyDescent="0.25">
      <c r="L19" s="286">
        <v>30000</v>
      </c>
      <c r="M19" s="286">
        <v>1</v>
      </c>
      <c r="N19" s="286"/>
    </row>
    <row r="20" spans="10:18" x14ac:dyDescent="0.25">
      <c r="J20" s="448">
        <f>L19</f>
        <v>30000</v>
      </c>
      <c r="K20" s="449"/>
      <c r="L20" s="452">
        <f>M20</f>
        <v>30</v>
      </c>
      <c r="M20" s="286">
        <v>30</v>
      </c>
      <c r="N20" s="443">
        <f>L20*12</f>
        <v>360</v>
      </c>
      <c r="O20" s="444"/>
      <c r="Q20" s="443">
        <f>J20*N20</f>
        <v>10800000</v>
      </c>
      <c r="R20" s="444"/>
    </row>
    <row r="21" spans="10:18" x14ac:dyDescent="0.25">
      <c r="J21" s="450"/>
      <c r="K21" s="451"/>
      <c r="L21" s="453"/>
      <c r="M21" s="286"/>
      <c r="N21" s="445"/>
      <c r="O21" s="446"/>
      <c r="Q21" s="445"/>
      <c r="R21" s="446"/>
    </row>
    <row r="22" spans="10:18" ht="15" customHeight="1" x14ac:dyDescent="0.25">
      <c r="M22" s="286"/>
      <c r="N22" s="286"/>
    </row>
    <row r="23" spans="10:18" ht="15" customHeight="1" x14ac:dyDescent="0.25">
      <c r="L23" s="286">
        <v>40000</v>
      </c>
      <c r="M23" s="286"/>
      <c r="N23" s="286"/>
    </row>
    <row r="24" spans="10:18" x14ac:dyDescent="0.25">
      <c r="J24" s="448">
        <f>L23</f>
        <v>40000</v>
      </c>
      <c r="K24" s="449"/>
      <c r="L24" s="452">
        <f>M24</f>
        <v>30</v>
      </c>
      <c r="M24" s="286">
        <v>30</v>
      </c>
      <c r="N24" s="443">
        <f>L24*12</f>
        <v>360</v>
      </c>
      <c r="O24" s="444"/>
      <c r="Q24" s="443">
        <f>J24*N24</f>
        <v>14400000</v>
      </c>
      <c r="R24" s="444"/>
    </row>
    <row r="25" spans="10:18" x14ac:dyDescent="0.25">
      <c r="J25" s="450"/>
      <c r="K25" s="451"/>
      <c r="L25" s="453"/>
      <c r="M25" s="286"/>
      <c r="N25" s="445"/>
      <c r="O25" s="446"/>
      <c r="Q25" s="445"/>
      <c r="R25" s="446"/>
    </row>
    <row r="26" spans="10:18" x14ac:dyDescent="0.25">
      <c r="L26" s="286"/>
      <c r="M26" s="286"/>
      <c r="N26" s="286"/>
    </row>
    <row r="27" spans="10:18" ht="15" customHeight="1" x14ac:dyDescent="0.25"/>
    <row r="28" spans="10:18" ht="15" customHeight="1" x14ac:dyDescent="0.25">
      <c r="J28" s="486">
        <f>L28</f>
        <v>10</v>
      </c>
      <c r="K28" s="487"/>
      <c r="L28" s="286">
        <v>10</v>
      </c>
    </row>
    <row r="29" spans="10:18" ht="15" customHeight="1" x14ac:dyDescent="0.25">
      <c r="J29" s="490"/>
      <c r="K29" s="491"/>
    </row>
    <row r="32" spans="10:18" ht="15" customHeight="1" x14ac:dyDescent="0.25">
      <c r="J32" s="433">
        <f>Q24*J28</f>
        <v>144000000</v>
      </c>
      <c r="K32" s="434"/>
    </row>
    <row r="33" spans="10:11" ht="15" customHeight="1" x14ac:dyDescent="0.25">
      <c r="J33" s="458"/>
      <c r="K33" s="459"/>
    </row>
    <row r="34" spans="10:11" ht="15" customHeight="1" x14ac:dyDescent="0.25">
      <c r="J34" s="435"/>
      <c r="K34" s="436"/>
    </row>
    <row r="39" spans="10:11" ht="15" customHeight="1" x14ac:dyDescent="0.25"/>
    <row r="40" spans="10:11" ht="15" customHeight="1" x14ac:dyDescent="0.25"/>
    <row r="41" spans="10:11" ht="15" customHeight="1" x14ac:dyDescent="0.25"/>
    <row r="43" spans="10:11" ht="15" customHeight="1" x14ac:dyDescent="0.25"/>
    <row r="44" spans="10:11" ht="15" customHeight="1" x14ac:dyDescent="0.25"/>
    <row r="45" spans="10:11" ht="15" customHeight="1" x14ac:dyDescent="0.25"/>
    <row r="47" spans="10:11" ht="15" customHeight="1" x14ac:dyDescent="0.25"/>
    <row r="48" spans="10:11" ht="15" customHeight="1" x14ac:dyDescent="0.25"/>
    <row r="49" ht="15" customHeight="1" x14ac:dyDescent="0.25"/>
    <row r="51" ht="15" customHeight="1" x14ac:dyDescent="0.25"/>
    <row r="52" ht="15" customHeight="1" x14ac:dyDescent="0.25"/>
    <row r="53" ht="15" customHeight="1" x14ac:dyDescent="0.25"/>
  </sheetData>
  <mergeCells count="18">
    <mergeCell ref="J12:K13"/>
    <mergeCell ref="L12:L13"/>
    <mergeCell ref="N12:O13"/>
    <mergeCell ref="Q12:R13"/>
    <mergeCell ref="J16:K17"/>
    <mergeCell ref="L16:L17"/>
    <mergeCell ref="N16:O17"/>
    <mergeCell ref="Q16:R17"/>
    <mergeCell ref="Q20:R21"/>
    <mergeCell ref="J24:K25"/>
    <mergeCell ref="L24:L25"/>
    <mergeCell ref="N24:O25"/>
    <mergeCell ref="Q24:R25"/>
    <mergeCell ref="J28:K29"/>
    <mergeCell ref="J32:K34"/>
    <mergeCell ref="J20:K21"/>
    <mergeCell ref="L20:L21"/>
    <mergeCell ref="N20:O21"/>
  </mergeCells>
  <pageMargins left="0.7" right="0.7" top="0.75" bottom="0.75" header="0.3" footer="0.3"/>
  <pageSetup orientation="portrait" horizontalDpi="0" verticalDpi="0" r:id="rId1"/>
  <drawing r:id="rId2"/>
  <legacyDrawing r:id="rId3"/>
  <controls>
    <mc:AlternateContent xmlns:mc="http://schemas.openxmlformats.org/markup-compatibility/2006">
      <mc:Choice Requires="x14">
        <control shapeId="54273" r:id="rId4" name="ScrollBar2">
          <controlPr defaultSize="0" autoLine="0" linkedCell="J11" r:id="rId5">
            <anchor moveWithCells="1">
              <from>
                <xdr:col>9</xdr:col>
                <xdr:colOff>9525</xdr:colOff>
                <xdr:row>13</xdr:row>
                <xdr:rowOff>19050</xdr:rowOff>
              </from>
              <to>
                <xdr:col>11</xdr:col>
                <xdr:colOff>9525</xdr:colOff>
                <xdr:row>14</xdr:row>
                <xdr:rowOff>38100</xdr:rowOff>
              </to>
            </anchor>
          </controlPr>
        </control>
      </mc:Choice>
      <mc:Fallback>
        <control shapeId="54273" r:id="rId4" name="ScrollBar2"/>
      </mc:Fallback>
    </mc:AlternateContent>
    <mc:AlternateContent xmlns:mc="http://schemas.openxmlformats.org/markup-compatibility/2006">
      <mc:Choice Requires="x14">
        <control shapeId="54274" r:id="rId6" name="ScrollBar3">
          <controlPr defaultSize="0" autoLine="0" linkedCell="L15" r:id="rId7">
            <anchor moveWithCells="1">
              <from>
                <xdr:col>9</xdr:col>
                <xdr:colOff>9525</xdr:colOff>
                <xdr:row>16</xdr:row>
                <xdr:rowOff>180975</xdr:rowOff>
              </from>
              <to>
                <xdr:col>11</xdr:col>
                <xdr:colOff>9525</xdr:colOff>
                <xdr:row>18</xdr:row>
                <xdr:rowOff>47625</xdr:rowOff>
              </to>
            </anchor>
          </controlPr>
        </control>
      </mc:Choice>
      <mc:Fallback>
        <control shapeId="54274" r:id="rId6" name="ScrollBar3"/>
      </mc:Fallback>
    </mc:AlternateContent>
    <mc:AlternateContent xmlns:mc="http://schemas.openxmlformats.org/markup-compatibility/2006">
      <mc:Choice Requires="x14">
        <control shapeId="54275" r:id="rId8" name="ScrollBar4">
          <controlPr defaultSize="0" autoLine="0" linkedCell="L19" r:id="rId7">
            <anchor moveWithCells="1">
              <from>
                <xdr:col>9</xdr:col>
                <xdr:colOff>9525</xdr:colOff>
                <xdr:row>21</xdr:row>
                <xdr:rowOff>0</xdr:rowOff>
              </from>
              <to>
                <xdr:col>11</xdr:col>
                <xdr:colOff>9525</xdr:colOff>
                <xdr:row>22</xdr:row>
                <xdr:rowOff>57150</xdr:rowOff>
              </to>
            </anchor>
          </controlPr>
        </control>
      </mc:Choice>
      <mc:Fallback>
        <control shapeId="54275" r:id="rId8" name="ScrollBar4"/>
      </mc:Fallback>
    </mc:AlternateContent>
    <mc:AlternateContent xmlns:mc="http://schemas.openxmlformats.org/markup-compatibility/2006">
      <mc:Choice Requires="x14">
        <control shapeId="54276" r:id="rId9" name="ScrollBar5">
          <controlPr defaultSize="0" autoLine="0" linkedCell="L23" r:id="rId10">
            <anchor moveWithCells="1">
              <from>
                <xdr:col>8</xdr:col>
                <xdr:colOff>600075</xdr:colOff>
                <xdr:row>25</xdr:row>
                <xdr:rowOff>19050</xdr:rowOff>
              </from>
              <to>
                <xdr:col>11</xdr:col>
                <xdr:colOff>9525</xdr:colOff>
                <xdr:row>26</xdr:row>
                <xdr:rowOff>66675</xdr:rowOff>
              </to>
            </anchor>
          </controlPr>
        </control>
      </mc:Choice>
      <mc:Fallback>
        <control shapeId="54276" r:id="rId9" name="ScrollBar5"/>
      </mc:Fallback>
    </mc:AlternateContent>
    <mc:AlternateContent xmlns:mc="http://schemas.openxmlformats.org/markup-compatibility/2006">
      <mc:Choice Requires="x14">
        <control shapeId="54277" r:id="rId11" name="ScrollBar7">
          <controlPr defaultSize="0" autoLine="0" linkedCell="M12" r:id="rId12">
            <anchor moveWithCells="1">
              <from>
                <xdr:col>11</xdr:col>
                <xdr:colOff>47625</xdr:colOff>
                <xdr:row>13</xdr:row>
                <xdr:rowOff>0</xdr:rowOff>
              </from>
              <to>
                <xdr:col>12</xdr:col>
                <xdr:colOff>9525</xdr:colOff>
                <xdr:row>14</xdr:row>
                <xdr:rowOff>57150</xdr:rowOff>
              </to>
            </anchor>
          </controlPr>
        </control>
      </mc:Choice>
      <mc:Fallback>
        <control shapeId="54277" r:id="rId11" name="ScrollBar7"/>
      </mc:Fallback>
    </mc:AlternateContent>
    <mc:AlternateContent xmlns:mc="http://schemas.openxmlformats.org/markup-compatibility/2006">
      <mc:Choice Requires="x14">
        <control shapeId="54278" r:id="rId13" name="ScrollBar8">
          <controlPr defaultSize="0" autoLine="0" linkedCell="M16" r:id="rId14">
            <anchor moveWithCells="1">
              <from>
                <xdr:col>11</xdr:col>
                <xdr:colOff>57150</xdr:colOff>
                <xdr:row>17</xdr:row>
                <xdr:rowOff>19050</xdr:rowOff>
              </from>
              <to>
                <xdr:col>12</xdr:col>
                <xdr:colOff>0</xdr:colOff>
                <xdr:row>18</xdr:row>
                <xdr:rowOff>66675</xdr:rowOff>
              </to>
            </anchor>
          </controlPr>
        </control>
      </mc:Choice>
      <mc:Fallback>
        <control shapeId="54278" r:id="rId13" name="ScrollBar8"/>
      </mc:Fallback>
    </mc:AlternateContent>
    <mc:AlternateContent xmlns:mc="http://schemas.openxmlformats.org/markup-compatibility/2006">
      <mc:Choice Requires="x14">
        <control shapeId="54279" r:id="rId15" name="ScrollBar9">
          <controlPr defaultSize="0" autoLine="0" linkedCell="M20" r:id="rId16">
            <anchor moveWithCells="1">
              <from>
                <xdr:col>11</xdr:col>
                <xdr:colOff>57150</xdr:colOff>
                <xdr:row>21</xdr:row>
                <xdr:rowOff>19050</xdr:rowOff>
              </from>
              <to>
                <xdr:col>11</xdr:col>
                <xdr:colOff>990600</xdr:colOff>
                <xdr:row>22</xdr:row>
                <xdr:rowOff>66675</xdr:rowOff>
              </to>
            </anchor>
          </controlPr>
        </control>
      </mc:Choice>
      <mc:Fallback>
        <control shapeId="54279" r:id="rId15" name="ScrollBar9"/>
      </mc:Fallback>
    </mc:AlternateContent>
    <mc:AlternateContent xmlns:mc="http://schemas.openxmlformats.org/markup-compatibility/2006">
      <mc:Choice Requires="x14">
        <control shapeId="54280" r:id="rId17" name="ScrollBar10">
          <controlPr defaultSize="0" autoLine="0" linkedCell="M24" r:id="rId18">
            <anchor moveWithCells="1">
              <from>
                <xdr:col>11</xdr:col>
                <xdr:colOff>57150</xdr:colOff>
                <xdr:row>25</xdr:row>
                <xdr:rowOff>19050</xdr:rowOff>
              </from>
              <to>
                <xdr:col>11</xdr:col>
                <xdr:colOff>981075</xdr:colOff>
                <xdr:row>26</xdr:row>
                <xdr:rowOff>66675</xdr:rowOff>
              </to>
            </anchor>
          </controlPr>
        </control>
      </mc:Choice>
      <mc:Fallback>
        <control shapeId="54280" r:id="rId17" name="ScrollBar10"/>
      </mc:Fallback>
    </mc:AlternateContent>
    <mc:AlternateContent xmlns:mc="http://schemas.openxmlformats.org/markup-compatibility/2006">
      <mc:Choice Requires="x14">
        <control shapeId="54281" r:id="rId19" name="ScrollBar11">
          <controlPr defaultSize="0" autoLine="0" linkedCell="L28" r:id="rId20">
            <anchor moveWithCells="1">
              <from>
                <xdr:col>9</xdr:col>
                <xdr:colOff>0</xdr:colOff>
                <xdr:row>29</xdr:row>
                <xdr:rowOff>9525</xdr:rowOff>
              </from>
              <to>
                <xdr:col>11</xdr:col>
                <xdr:colOff>9525</xdr:colOff>
                <xdr:row>30</xdr:row>
                <xdr:rowOff>57150</xdr:rowOff>
              </to>
            </anchor>
          </controlPr>
        </control>
      </mc:Choice>
      <mc:Fallback>
        <control shapeId="54281" r:id="rId19" name="ScrollBar1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F7:R53"/>
  <sheetViews>
    <sheetView zoomScale="90" zoomScaleNormal="90" workbookViewId="0"/>
  </sheetViews>
  <sheetFormatPr defaultColWidth="9.140625" defaultRowHeight="15" x14ac:dyDescent="0.25"/>
  <cols>
    <col min="1" max="5" width="9.140625" style="281"/>
    <col min="6" max="6" width="10.140625" style="281" bestFit="1" customWidth="1"/>
    <col min="7" max="7" width="9.140625" style="281"/>
    <col min="8" max="8" width="10.140625" style="281" bestFit="1" customWidth="1"/>
    <col min="9" max="9" width="9.140625" style="281"/>
    <col min="10" max="10" width="12.140625" style="281" bestFit="1" customWidth="1"/>
    <col min="11" max="11" width="9.140625" style="281"/>
    <col min="12" max="12" width="15" style="281" customWidth="1"/>
    <col min="13" max="13" width="3.5703125" style="281" customWidth="1"/>
    <col min="14" max="14" width="10.140625" style="281" bestFit="1" customWidth="1"/>
    <col min="15" max="15" width="3.42578125" style="281" customWidth="1"/>
    <col min="16" max="16" width="1.85546875" style="281" customWidth="1"/>
    <col min="17" max="17" width="9.140625" style="281"/>
    <col min="18" max="18" width="8.5703125" style="281" customWidth="1"/>
    <col min="19" max="16384" width="9.140625" style="281"/>
  </cols>
  <sheetData>
    <row r="7" spans="6:18" x14ac:dyDescent="0.25">
      <c r="F7" s="283"/>
    </row>
    <row r="9" spans="6:18" x14ac:dyDescent="0.25">
      <c r="F9" s="285"/>
    </row>
    <row r="11" spans="6:18" x14ac:dyDescent="0.25">
      <c r="J11" s="286">
        <v>3000</v>
      </c>
    </row>
    <row r="12" spans="6:18" ht="15" customHeight="1" x14ac:dyDescent="0.25">
      <c r="J12" s="448">
        <f>J11</f>
        <v>3000</v>
      </c>
      <c r="K12" s="449"/>
      <c r="L12" s="452">
        <f>M12</f>
        <v>30</v>
      </c>
      <c r="M12" s="286">
        <v>30</v>
      </c>
      <c r="N12" s="443">
        <f>L12*12</f>
        <v>360</v>
      </c>
      <c r="O12" s="444"/>
      <c r="Q12" s="443">
        <f>N12*J12</f>
        <v>1080000</v>
      </c>
      <c r="R12" s="444"/>
    </row>
    <row r="13" spans="6:18" ht="15" customHeight="1" x14ac:dyDescent="0.25">
      <c r="J13" s="450"/>
      <c r="K13" s="451"/>
      <c r="L13" s="453"/>
      <c r="N13" s="445"/>
      <c r="O13" s="446"/>
      <c r="Q13" s="445"/>
      <c r="R13" s="446"/>
    </row>
    <row r="15" spans="6:18" x14ac:dyDescent="0.25">
      <c r="L15" s="286">
        <v>15000</v>
      </c>
      <c r="M15" s="286"/>
      <c r="N15" s="286"/>
    </row>
    <row r="16" spans="6:18" x14ac:dyDescent="0.25">
      <c r="J16" s="448">
        <f>L15</f>
        <v>15000</v>
      </c>
      <c r="K16" s="449"/>
      <c r="L16" s="452">
        <f>M16</f>
        <v>30</v>
      </c>
      <c r="M16" s="287">
        <v>30</v>
      </c>
      <c r="N16" s="443">
        <f>L16*12</f>
        <v>360</v>
      </c>
      <c r="O16" s="444"/>
      <c r="Q16" s="443">
        <f>N16*J16</f>
        <v>5400000</v>
      </c>
      <c r="R16" s="444"/>
    </row>
    <row r="17" spans="10:18" ht="15" customHeight="1" x14ac:dyDescent="0.25">
      <c r="J17" s="450"/>
      <c r="K17" s="451"/>
      <c r="L17" s="453"/>
      <c r="M17" s="287"/>
      <c r="N17" s="445"/>
      <c r="O17" s="446"/>
      <c r="Q17" s="445"/>
      <c r="R17" s="446"/>
    </row>
    <row r="18" spans="10:18" ht="15" customHeight="1" x14ac:dyDescent="0.25">
      <c r="L18" s="286"/>
      <c r="M18" s="286"/>
      <c r="N18" s="286"/>
    </row>
    <row r="19" spans="10:18" x14ac:dyDescent="0.25">
      <c r="L19" s="286">
        <v>30000</v>
      </c>
      <c r="M19" s="286">
        <v>1</v>
      </c>
      <c r="N19" s="286"/>
    </row>
    <row r="20" spans="10:18" x14ac:dyDescent="0.25">
      <c r="J20" s="448">
        <f>L19</f>
        <v>30000</v>
      </c>
      <c r="K20" s="449"/>
      <c r="L20" s="452">
        <f>M20</f>
        <v>30</v>
      </c>
      <c r="M20" s="286">
        <v>30</v>
      </c>
      <c r="N20" s="443">
        <f>L20*12</f>
        <v>360</v>
      </c>
      <c r="O20" s="444"/>
      <c r="Q20" s="443">
        <f>J20*N20</f>
        <v>10800000</v>
      </c>
      <c r="R20" s="444"/>
    </row>
    <row r="21" spans="10:18" x14ac:dyDescent="0.25">
      <c r="J21" s="450"/>
      <c r="K21" s="451"/>
      <c r="L21" s="453"/>
      <c r="M21" s="286"/>
      <c r="N21" s="445"/>
      <c r="O21" s="446"/>
      <c r="Q21" s="445"/>
      <c r="R21" s="446"/>
    </row>
    <row r="22" spans="10:18" ht="15" customHeight="1" x14ac:dyDescent="0.25">
      <c r="M22" s="286"/>
      <c r="N22" s="286"/>
    </row>
    <row r="23" spans="10:18" ht="15" customHeight="1" x14ac:dyDescent="0.25">
      <c r="L23" s="286">
        <v>40000</v>
      </c>
      <c r="M23" s="286"/>
      <c r="N23" s="286"/>
    </row>
    <row r="24" spans="10:18" x14ac:dyDescent="0.25">
      <c r="J24" s="448">
        <f>L23</f>
        <v>40000</v>
      </c>
      <c r="K24" s="449"/>
      <c r="L24" s="452">
        <f>M24</f>
        <v>30</v>
      </c>
      <c r="M24" s="286">
        <v>30</v>
      </c>
      <c r="N24" s="443">
        <f>L24*12</f>
        <v>360</v>
      </c>
      <c r="O24" s="444"/>
      <c r="Q24" s="443">
        <f>J24*N24</f>
        <v>14400000</v>
      </c>
      <c r="R24" s="444"/>
    </row>
    <row r="25" spans="10:18" x14ac:dyDescent="0.25">
      <c r="J25" s="450"/>
      <c r="K25" s="451"/>
      <c r="L25" s="453"/>
      <c r="M25" s="286"/>
      <c r="N25" s="445"/>
      <c r="O25" s="446"/>
      <c r="Q25" s="445"/>
      <c r="R25" s="446"/>
    </row>
    <row r="26" spans="10:18" x14ac:dyDescent="0.25">
      <c r="L26" s="286"/>
      <c r="M26" s="286"/>
      <c r="N26" s="286"/>
    </row>
    <row r="27" spans="10:18" ht="15" customHeight="1" x14ac:dyDescent="0.25"/>
    <row r="28" spans="10:18" ht="15" customHeight="1" x14ac:dyDescent="0.25">
      <c r="J28" s="486">
        <f>L28</f>
        <v>10</v>
      </c>
      <c r="K28" s="487"/>
      <c r="L28" s="286">
        <v>10</v>
      </c>
    </row>
    <row r="29" spans="10:18" ht="15" customHeight="1" x14ac:dyDescent="0.25">
      <c r="J29" s="490"/>
      <c r="K29" s="491"/>
    </row>
    <row r="32" spans="10:18" ht="15" customHeight="1" x14ac:dyDescent="0.25">
      <c r="J32" s="433">
        <f>Q24*J28</f>
        <v>144000000</v>
      </c>
      <c r="K32" s="434"/>
    </row>
    <row r="33" spans="10:11" ht="15" customHeight="1" x14ac:dyDescent="0.25">
      <c r="J33" s="458"/>
      <c r="K33" s="459"/>
    </row>
    <row r="34" spans="10:11" ht="15" customHeight="1" x14ac:dyDescent="0.25">
      <c r="J34" s="435"/>
      <c r="K34" s="436"/>
    </row>
    <row r="39" spans="10:11" ht="15" customHeight="1" x14ac:dyDescent="0.25"/>
    <row r="40" spans="10:11" ht="15" customHeight="1" x14ac:dyDescent="0.25"/>
    <row r="41" spans="10:11" ht="15" customHeight="1" x14ac:dyDescent="0.25"/>
    <row r="43" spans="10:11" ht="15" customHeight="1" x14ac:dyDescent="0.25"/>
    <row r="44" spans="10:11" ht="15" customHeight="1" x14ac:dyDescent="0.25"/>
    <row r="45" spans="10:11" ht="15" customHeight="1" x14ac:dyDescent="0.25"/>
    <row r="47" spans="10:11" ht="15" customHeight="1" x14ac:dyDescent="0.25"/>
    <row r="48" spans="10:11" ht="15" customHeight="1" x14ac:dyDescent="0.25"/>
    <row r="49" ht="15" customHeight="1" x14ac:dyDescent="0.25"/>
    <row r="51" ht="15" customHeight="1" x14ac:dyDescent="0.25"/>
    <row r="52" ht="15" customHeight="1" x14ac:dyDescent="0.25"/>
    <row r="53" ht="15" customHeight="1" x14ac:dyDescent="0.25"/>
  </sheetData>
  <mergeCells count="18">
    <mergeCell ref="J12:K13"/>
    <mergeCell ref="L12:L13"/>
    <mergeCell ref="N12:O13"/>
    <mergeCell ref="Q12:R13"/>
    <mergeCell ref="J16:K17"/>
    <mergeCell ref="L16:L17"/>
    <mergeCell ref="N16:O17"/>
    <mergeCell ref="Q16:R17"/>
    <mergeCell ref="Q20:R21"/>
    <mergeCell ref="J24:K25"/>
    <mergeCell ref="L24:L25"/>
    <mergeCell ref="N24:O25"/>
    <mergeCell ref="Q24:R25"/>
    <mergeCell ref="J28:K29"/>
    <mergeCell ref="J32:K34"/>
    <mergeCell ref="J20:K21"/>
    <mergeCell ref="L20:L21"/>
    <mergeCell ref="N20:O21"/>
  </mergeCells>
  <pageMargins left="0.7" right="0.7" top="0.75" bottom="0.75" header="0.3" footer="0.3"/>
  <pageSetup orientation="portrait" horizontalDpi="0" verticalDpi="0" r:id="rId1"/>
  <drawing r:id="rId2"/>
  <legacyDrawing r:id="rId3"/>
  <controls>
    <mc:AlternateContent xmlns:mc="http://schemas.openxmlformats.org/markup-compatibility/2006">
      <mc:Choice Requires="x14">
        <control shapeId="53249" r:id="rId4" name="ScrollBar2">
          <controlPr defaultSize="0" autoLine="0" linkedCell="J11" r:id="rId5">
            <anchor moveWithCells="1">
              <from>
                <xdr:col>9</xdr:col>
                <xdr:colOff>9525</xdr:colOff>
                <xdr:row>13</xdr:row>
                <xdr:rowOff>19050</xdr:rowOff>
              </from>
              <to>
                <xdr:col>11</xdr:col>
                <xdr:colOff>9525</xdr:colOff>
                <xdr:row>14</xdr:row>
                <xdr:rowOff>38100</xdr:rowOff>
              </to>
            </anchor>
          </controlPr>
        </control>
      </mc:Choice>
      <mc:Fallback>
        <control shapeId="53249" r:id="rId4" name="ScrollBar2"/>
      </mc:Fallback>
    </mc:AlternateContent>
    <mc:AlternateContent xmlns:mc="http://schemas.openxmlformats.org/markup-compatibility/2006">
      <mc:Choice Requires="x14">
        <control shapeId="53250" r:id="rId6" name="ScrollBar3">
          <controlPr defaultSize="0" autoLine="0" linkedCell="L15" r:id="rId7">
            <anchor moveWithCells="1">
              <from>
                <xdr:col>9</xdr:col>
                <xdr:colOff>9525</xdr:colOff>
                <xdr:row>16</xdr:row>
                <xdr:rowOff>180975</xdr:rowOff>
              </from>
              <to>
                <xdr:col>11</xdr:col>
                <xdr:colOff>9525</xdr:colOff>
                <xdr:row>18</xdr:row>
                <xdr:rowOff>47625</xdr:rowOff>
              </to>
            </anchor>
          </controlPr>
        </control>
      </mc:Choice>
      <mc:Fallback>
        <control shapeId="53250" r:id="rId6" name="ScrollBar3"/>
      </mc:Fallback>
    </mc:AlternateContent>
    <mc:AlternateContent xmlns:mc="http://schemas.openxmlformats.org/markup-compatibility/2006">
      <mc:Choice Requires="x14">
        <control shapeId="53251" r:id="rId8" name="ScrollBar4">
          <controlPr defaultSize="0" autoLine="0" linkedCell="L19" r:id="rId7">
            <anchor moveWithCells="1">
              <from>
                <xdr:col>9</xdr:col>
                <xdr:colOff>9525</xdr:colOff>
                <xdr:row>21</xdr:row>
                <xdr:rowOff>0</xdr:rowOff>
              </from>
              <to>
                <xdr:col>11</xdr:col>
                <xdr:colOff>9525</xdr:colOff>
                <xdr:row>22</xdr:row>
                <xdr:rowOff>57150</xdr:rowOff>
              </to>
            </anchor>
          </controlPr>
        </control>
      </mc:Choice>
      <mc:Fallback>
        <control shapeId="53251" r:id="rId8" name="ScrollBar4"/>
      </mc:Fallback>
    </mc:AlternateContent>
    <mc:AlternateContent xmlns:mc="http://schemas.openxmlformats.org/markup-compatibility/2006">
      <mc:Choice Requires="x14">
        <control shapeId="53252" r:id="rId9" name="ScrollBar5">
          <controlPr defaultSize="0" autoLine="0" linkedCell="L23" r:id="rId10">
            <anchor moveWithCells="1">
              <from>
                <xdr:col>8</xdr:col>
                <xdr:colOff>600075</xdr:colOff>
                <xdr:row>25</xdr:row>
                <xdr:rowOff>19050</xdr:rowOff>
              </from>
              <to>
                <xdr:col>11</xdr:col>
                <xdr:colOff>9525</xdr:colOff>
                <xdr:row>26</xdr:row>
                <xdr:rowOff>66675</xdr:rowOff>
              </to>
            </anchor>
          </controlPr>
        </control>
      </mc:Choice>
      <mc:Fallback>
        <control shapeId="53252" r:id="rId9" name="ScrollBar5"/>
      </mc:Fallback>
    </mc:AlternateContent>
    <mc:AlternateContent xmlns:mc="http://schemas.openxmlformats.org/markup-compatibility/2006">
      <mc:Choice Requires="x14">
        <control shapeId="53253" r:id="rId11" name="ScrollBar7">
          <controlPr defaultSize="0" autoLine="0" linkedCell="M12" r:id="rId12">
            <anchor moveWithCells="1">
              <from>
                <xdr:col>11</xdr:col>
                <xdr:colOff>47625</xdr:colOff>
                <xdr:row>13</xdr:row>
                <xdr:rowOff>0</xdr:rowOff>
              </from>
              <to>
                <xdr:col>12</xdr:col>
                <xdr:colOff>9525</xdr:colOff>
                <xdr:row>14</xdr:row>
                <xdr:rowOff>57150</xdr:rowOff>
              </to>
            </anchor>
          </controlPr>
        </control>
      </mc:Choice>
      <mc:Fallback>
        <control shapeId="53253" r:id="rId11" name="ScrollBar7"/>
      </mc:Fallback>
    </mc:AlternateContent>
    <mc:AlternateContent xmlns:mc="http://schemas.openxmlformats.org/markup-compatibility/2006">
      <mc:Choice Requires="x14">
        <control shapeId="53254" r:id="rId13" name="ScrollBar8">
          <controlPr defaultSize="0" autoLine="0" linkedCell="M16" r:id="rId14">
            <anchor moveWithCells="1">
              <from>
                <xdr:col>11</xdr:col>
                <xdr:colOff>57150</xdr:colOff>
                <xdr:row>17</xdr:row>
                <xdr:rowOff>19050</xdr:rowOff>
              </from>
              <to>
                <xdr:col>12</xdr:col>
                <xdr:colOff>0</xdr:colOff>
                <xdr:row>18</xdr:row>
                <xdr:rowOff>66675</xdr:rowOff>
              </to>
            </anchor>
          </controlPr>
        </control>
      </mc:Choice>
      <mc:Fallback>
        <control shapeId="53254" r:id="rId13" name="ScrollBar8"/>
      </mc:Fallback>
    </mc:AlternateContent>
    <mc:AlternateContent xmlns:mc="http://schemas.openxmlformats.org/markup-compatibility/2006">
      <mc:Choice Requires="x14">
        <control shapeId="53255" r:id="rId15" name="ScrollBar9">
          <controlPr defaultSize="0" autoLine="0" linkedCell="M20" r:id="rId16">
            <anchor moveWithCells="1">
              <from>
                <xdr:col>11</xdr:col>
                <xdr:colOff>57150</xdr:colOff>
                <xdr:row>21</xdr:row>
                <xdr:rowOff>19050</xdr:rowOff>
              </from>
              <to>
                <xdr:col>11</xdr:col>
                <xdr:colOff>990600</xdr:colOff>
                <xdr:row>22</xdr:row>
                <xdr:rowOff>66675</xdr:rowOff>
              </to>
            </anchor>
          </controlPr>
        </control>
      </mc:Choice>
      <mc:Fallback>
        <control shapeId="53255" r:id="rId15" name="ScrollBar9"/>
      </mc:Fallback>
    </mc:AlternateContent>
    <mc:AlternateContent xmlns:mc="http://schemas.openxmlformats.org/markup-compatibility/2006">
      <mc:Choice Requires="x14">
        <control shapeId="53256" r:id="rId17" name="ScrollBar10">
          <controlPr defaultSize="0" autoLine="0" linkedCell="M24" r:id="rId18">
            <anchor moveWithCells="1">
              <from>
                <xdr:col>11</xdr:col>
                <xdr:colOff>57150</xdr:colOff>
                <xdr:row>25</xdr:row>
                <xdr:rowOff>19050</xdr:rowOff>
              </from>
              <to>
                <xdr:col>11</xdr:col>
                <xdr:colOff>981075</xdr:colOff>
                <xdr:row>26</xdr:row>
                <xdr:rowOff>66675</xdr:rowOff>
              </to>
            </anchor>
          </controlPr>
        </control>
      </mc:Choice>
      <mc:Fallback>
        <control shapeId="53256" r:id="rId17" name="ScrollBar10"/>
      </mc:Fallback>
    </mc:AlternateContent>
    <mc:AlternateContent xmlns:mc="http://schemas.openxmlformats.org/markup-compatibility/2006">
      <mc:Choice Requires="x14">
        <control shapeId="53257" r:id="rId19" name="ScrollBar11">
          <controlPr defaultSize="0" autoLine="0" linkedCell="L28" r:id="rId20">
            <anchor moveWithCells="1">
              <from>
                <xdr:col>9</xdr:col>
                <xdr:colOff>0</xdr:colOff>
                <xdr:row>29</xdr:row>
                <xdr:rowOff>9525</xdr:rowOff>
              </from>
              <to>
                <xdr:col>11</xdr:col>
                <xdr:colOff>9525</xdr:colOff>
                <xdr:row>30</xdr:row>
                <xdr:rowOff>57150</xdr:rowOff>
              </to>
            </anchor>
          </controlPr>
        </control>
      </mc:Choice>
      <mc:Fallback>
        <control shapeId="53257" r:id="rId19" name="ScrollBar11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F7:R53"/>
  <sheetViews>
    <sheetView zoomScale="90" zoomScaleNormal="90" workbookViewId="0"/>
  </sheetViews>
  <sheetFormatPr defaultColWidth="9.140625" defaultRowHeight="15" x14ac:dyDescent="0.25"/>
  <cols>
    <col min="1" max="5" width="9.140625" style="281"/>
    <col min="6" max="6" width="10.140625" style="281" bestFit="1" customWidth="1"/>
    <col min="7" max="7" width="9.140625" style="281"/>
    <col min="8" max="8" width="10.140625" style="281" bestFit="1" customWidth="1"/>
    <col min="9" max="9" width="9.140625" style="281"/>
    <col min="10" max="10" width="12.140625" style="281" bestFit="1" customWidth="1"/>
    <col min="11" max="11" width="9.140625" style="281"/>
    <col min="12" max="12" width="15" style="281" customWidth="1"/>
    <col min="13" max="13" width="3.5703125" style="281" customWidth="1"/>
    <col min="14" max="14" width="10.140625" style="281" bestFit="1" customWidth="1"/>
    <col min="15" max="15" width="3.42578125" style="281" customWidth="1"/>
    <col min="16" max="16" width="1.85546875" style="281" customWidth="1"/>
    <col min="17" max="17" width="9.140625" style="281"/>
    <col min="18" max="18" width="8.5703125" style="281" customWidth="1"/>
    <col min="19" max="16384" width="9.140625" style="281"/>
  </cols>
  <sheetData>
    <row r="7" spans="6:18" x14ac:dyDescent="0.25">
      <c r="F7" s="283"/>
    </row>
    <row r="9" spans="6:18" x14ac:dyDescent="0.25">
      <c r="F9" s="285"/>
    </row>
    <row r="11" spans="6:18" x14ac:dyDescent="0.25">
      <c r="J11" s="286">
        <v>3000</v>
      </c>
    </row>
    <row r="12" spans="6:18" ht="15" customHeight="1" x14ac:dyDescent="0.25">
      <c r="J12" s="448">
        <f>J11</f>
        <v>3000</v>
      </c>
      <c r="K12" s="449"/>
      <c r="L12" s="452">
        <f>M12</f>
        <v>30</v>
      </c>
      <c r="M12" s="286">
        <v>30</v>
      </c>
      <c r="N12" s="443">
        <f>L12*12</f>
        <v>360</v>
      </c>
      <c r="O12" s="444"/>
      <c r="Q12" s="443">
        <f>N12*J12</f>
        <v>1080000</v>
      </c>
      <c r="R12" s="444"/>
    </row>
    <row r="13" spans="6:18" ht="15" customHeight="1" x14ac:dyDescent="0.25">
      <c r="J13" s="450"/>
      <c r="K13" s="451"/>
      <c r="L13" s="453"/>
      <c r="N13" s="445"/>
      <c r="O13" s="446"/>
      <c r="Q13" s="445"/>
      <c r="R13" s="446"/>
    </row>
    <row r="15" spans="6:18" x14ac:dyDescent="0.25">
      <c r="L15" s="286">
        <v>15000</v>
      </c>
      <c r="M15" s="286"/>
      <c r="N15" s="286"/>
    </row>
    <row r="16" spans="6:18" x14ac:dyDescent="0.25">
      <c r="J16" s="448">
        <f>L15</f>
        <v>15000</v>
      </c>
      <c r="K16" s="449"/>
      <c r="L16" s="452">
        <f>M16</f>
        <v>30</v>
      </c>
      <c r="M16" s="287">
        <v>30</v>
      </c>
      <c r="N16" s="443">
        <f>L16*12</f>
        <v>360</v>
      </c>
      <c r="O16" s="444"/>
      <c r="Q16" s="443">
        <f>N16*J16</f>
        <v>5400000</v>
      </c>
      <c r="R16" s="444"/>
    </row>
    <row r="17" spans="10:18" ht="15" customHeight="1" x14ac:dyDescent="0.25">
      <c r="J17" s="450"/>
      <c r="K17" s="451"/>
      <c r="L17" s="453"/>
      <c r="M17" s="287"/>
      <c r="N17" s="445"/>
      <c r="O17" s="446"/>
      <c r="Q17" s="445"/>
      <c r="R17" s="446"/>
    </row>
    <row r="18" spans="10:18" ht="15" customHeight="1" x14ac:dyDescent="0.25">
      <c r="L18" s="286"/>
      <c r="M18" s="286"/>
      <c r="N18" s="286"/>
    </row>
    <row r="19" spans="10:18" x14ac:dyDescent="0.25">
      <c r="L19" s="286">
        <v>30000</v>
      </c>
      <c r="M19" s="286">
        <v>1</v>
      </c>
      <c r="N19" s="286"/>
    </row>
    <row r="20" spans="10:18" x14ac:dyDescent="0.25">
      <c r="J20" s="448">
        <f>L19</f>
        <v>30000</v>
      </c>
      <c r="K20" s="449"/>
      <c r="L20" s="452">
        <f>M20</f>
        <v>30</v>
      </c>
      <c r="M20" s="286">
        <v>30</v>
      </c>
      <c r="N20" s="443">
        <f>L20*12</f>
        <v>360</v>
      </c>
      <c r="O20" s="444"/>
      <c r="Q20" s="443">
        <f>J20*N20</f>
        <v>10800000</v>
      </c>
      <c r="R20" s="444"/>
    </row>
    <row r="21" spans="10:18" x14ac:dyDescent="0.25">
      <c r="J21" s="450"/>
      <c r="K21" s="451"/>
      <c r="L21" s="453"/>
      <c r="M21" s="286"/>
      <c r="N21" s="445"/>
      <c r="O21" s="446"/>
      <c r="Q21" s="445"/>
      <c r="R21" s="446"/>
    </row>
    <row r="22" spans="10:18" ht="15" customHeight="1" x14ac:dyDescent="0.25">
      <c r="M22" s="286"/>
      <c r="N22" s="286"/>
    </row>
    <row r="23" spans="10:18" ht="15" customHeight="1" x14ac:dyDescent="0.25">
      <c r="L23" s="286">
        <v>40000</v>
      </c>
      <c r="M23" s="286"/>
      <c r="N23" s="286"/>
    </row>
    <row r="24" spans="10:18" x14ac:dyDescent="0.25">
      <c r="J24" s="448">
        <f>L23</f>
        <v>40000</v>
      </c>
      <c r="K24" s="449"/>
      <c r="L24" s="452">
        <f>M24</f>
        <v>30</v>
      </c>
      <c r="M24" s="286">
        <v>30</v>
      </c>
      <c r="N24" s="443">
        <f>L24*12</f>
        <v>360</v>
      </c>
      <c r="O24" s="444"/>
      <c r="Q24" s="443">
        <f>J24*N24</f>
        <v>14400000</v>
      </c>
      <c r="R24" s="444"/>
    </row>
    <row r="25" spans="10:18" x14ac:dyDescent="0.25">
      <c r="J25" s="450"/>
      <c r="K25" s="451"/>
      <c r="L25" s="453"/>
      <c r="M25" s="286"/>
      <c r="N25" s="445"/>
      <c r="O25" s="446"/>
      <c r="Q25" s="445"/>
      <c r="R25" s="446"/>
    </row>
    <row r="26" spans="10:18" x14ac:dyDescent="0.25">
      <c r="L26" s="286"/>
      <c r="M26" s="286"/>
      <c r="N26" s="286"/>
    </row>
    <row r="27" spans="10:18" ht="15" customHeight="1" x14ac:dyDescent="0.25"/>
    <row r="28" spans="10:18" ht="15" customHeight="1" x14ac:dyDescent="0.25">
      <c r="J28" s="486">
        <f>L28</f>
        <v>10</v>
      </c>
      <c r="K28" s="487"/>
      <c r="L28" s="286">
        <v>10</v>
      </c>
    </row>
    <row r="29" spans="10:18" ht="15" customHeight="1" x14ac:dyDescent="0.25">
      <c r="J29" s="490"/>
      <c r="K29" s="491"/>
    </row>
    <row r="32" spans="10:18" ht="15" customHeight="1" x14ac:dyDescent="0.25">
      <c r="J32" s="433">
        <f>Q24*J28</f>
        <v>144000000</v>
      </c>
      <c r="K32" s="434"/>
    </row>
    <row r="33" spans="10:11" ht="15" customHeight="1" x14ac:dyDescent="0.25">
      <c r="J33" s="458"/>
      <c r="K33" s="459"/>
    </row>
    <row r="34" spans="10:11" ht="15" customHeight="1" x14ac:dyDescent="0.25">
      <c r="J34" s="435"/>
      <c r="K34" s="436"/>
    </row>
    <row r="39" spans="10:11" ht="15" customHeight="1" x14ac:dyDescent="0.25"/>
    <row r="40" spans="10:11" ht="15" customHeight="1" x14ac:dyDescent="0.25"/>
    <row r="41" spans="10:11" ht="15" customHeight="1" x14ac:dyDescent="0.25"/>
    <row r="43" spans="10:11" ht="15" customHeight="1" x14ac:dyDescent="0.25"/>
    <row r="44" spans="10:11" ht="15" customHeight="1" x14ac:dyDescent="0.25"/>
    <row r="45" spans="10:11" ht="15" customHeight="1" x14ac:dyDescent="0.25"/>
    <row r="47" spans="10:11" ht="15" customHeight="1" x14ac:dyDescent="0.25"/>
    <row r="48" spans="10:11" ht="15" customHeight="1" x14ac:dyDescent="0.25"/>
    <row r="49" ht="15" customHeight="1" x14ac:dyDescent="0.25"/>
    <row r="51" ht="15" customHeight="1" x14ac:dyDescent="0.25"/>
    <row r="52" ht="15" customHeight="1" x14ac:dyDescent="0.25"/>
    <row r="53" ht="15" customHeight="1" x14ac:dyDescent="0.25"/>
  </sheetData>
  <mergeCells count="18">
    <mergeCell ref="J12:K13"/>
    <mergeCell ref="L12:L13"/>
    <mergeCell ref="N12:O13"/>
    <mergeCell ref="Q12:R13"/>
    <mergeCell ref="J16:K17"/>
    <mergeCell ref="L16:L17"/>
    <mergeCell ref="N16:O17"/>
    <mergeCell ref="Q16:R17"/>
    <mergeCell ref="Q20:R21"/>
    <mergeCell ref="J24:K25"/>
    <mergeCell ref="L24:L25"/>
    <mergeCell ref="N24:O25"/>
    <mergeCell ref="Q24:R25"/>
    <mergeCell ref="J28:K29"/>
    <mergeCell ref="J32:K34"/>
    <mergeCell ref="J20:K21"/>
    <mergeCell ref="L20:L21"/>
    <mergeCell ref="N20:O21"/>
  </mergeCells>
  <pageMargins left="0.7" right="0.7" top="0.75" bottom="0.75" header="0.3" footer="0.3"/>
  <pageSetup orientation="portrait" horizontalDpi="0" verticalDpi="0" r:id="rId1"/>
  <drawing r:id="rId2"/>
  <legacyDrawing r:id="rId3"/>
  <controls>
    <mc:AlternateContent xmlns:mc="http://schemas.openxmlformats.org/markup-compatibility/2006">
      <mc:Choice Requires="x14">
        <control shapeId="52226" r:id="rId4" name="ScrollBar2">
          <controlPr defaultSize="0" autoLine="0" linkedCell="J11" r:id="rId5">
            <anchor moveWithCells="1">
              <from>
                <xdr:col>9</xdr:col>
                <xdr:colOff>9525</xdr:colOff>
                <xdr:row>13</xdr:row>
                <xdr:rowOff>19050</xdr:rowOff>
              </from>
              <to>
                <xdr:col>11</xdr:col>
                <xdr:colOff>9525</xdr:colOff>
                <xdr:row>14</xdr:row>
                <xdr:rowOff>38100</xdr:rowOff>
              </to>
            </anchor>
          </controlPr>
        </control>
      </mc:Choice>
      <mc:Fallback>
        <control shapeId="52226" r:id="rId4" name="ScrollBar2"/>
      </mc:Fallback>
    </mc:AlternateContent>
    <mc:AlternateContent xmlns:mc="http://schemas.openxmlformats.org/markup-compatibility/2006">
      <mc:Choice Requires="x14">
        <control shapeId="52227" r:id="rId6" name="ScrollBar3">
          <controlPr defaultSize="0" autoLine="0" linkedCell="L15" r:id="rId7">
            <anchor moveWithCells="1">
              <from>
                <xdr:col>9</xdr:col>
                <xdr:colOff>9525</xdr:colOff>
                <xdr:row>16</xdr:row>
                <xdr:rowOff>180975</xdr:rowOff>
              </from>
              <to>
                <xdr:col>11</xdr:col>
                <xdr:colOff>9525</xdr:colOff>
                <xdr:row>18</xdr:row>
                <xdr:rowOff>47625</xdr:rowOff>
              </to>
            </anchor>
          </controlPr>
        </control>
      </mc:Choice>
      <mc:Fallback>
        <control shapeId="52227" r:id="rId6" name="ScrollBar3"/>
      </mc:Fallback>
    </mc:AlternateContent>
    <mc:AlternateContent xmlns:mc="http://schemas.openxmlformats.org/markup-compatibility/2006">
      <mc:Choice Requires="x14">
        <control shapeId="52228" r:id="rId8" name="ScrollBar4">
          <controlPr defaultSize="0" autoLine="0" linkedCell="L19" r:id="rId7">
            <anchor moveWithCells="1">
              <from>
                <xdr:col>9</xdr:col>
                <xdr:colOff>9525</xdr:colOff>
                <xdr:row>21</xdr:row>
                <xdr:rowOff>0</xdr:rowOff>
              </from>
              <to>
                <xdr:col>11</xdr:col>
                <xdr:colOff>9525</xdr:colOff>
                <xdr:row>22</xdr:row>
                <xdr:rowOff>57150</xdr:rowOff>
              </to>
            </anchor>
          </controlPr>
        </control>
      </mc:Choice>
      <mc:Fallback>
        <control shapeId="52228" r:id="rId8" name="ScrollBar4"/>
      </mc:Fallback>
    </mc:AlternateContent>
    <mc:AlternateContent xmlns:mc="http://schemas.openxmlformats.org/markup-compatibility/2006">
      <mc:Choice Requires="x14">
        <control shapeId="52229" r:id="rId9" name="ScrollBar5">
          <controlPr defaultSize="0" autoLine="0" linkedCell="L23" r:id="rId10">
            <anchor moveWithCells="1">
              <from>
                <xdr:col>8</xdr:col>
                <xdr:colOff>600075</xdr:colOff>
                <xdr:row>25</xdr:row>
                <xdr:rowOff>19050</xdr:rowOff>
              </from>
              <to>
                <xdr:col>11</xdr:col>
                <xdr:colOff>9525</xdr:colOff>
                <xdr:row>26</xdr:row>
                <xdr:rowOff>66675</xdr:rowOff>
              </to>
            </anchor>
          </controlPr>
        </control>
      </mc:Choice>
      <mc:Fallback>
        <control shapeId="52229" r:id="rId9" name="ScrollBar5"/>
      </mc:Fallback>
    </mc:AlternateContent>
    <mc:AlternateContent xmlns:mc="http://schemas.openxmlformats.org/markup-compatibility/2006">
      <mc:Choice Requires="x14">
        <control shapeId="52231" r:id="rId11" name="ScrollBar7">
          <controlPr defaultSize="0" autoLine="0" linkedCell="M12" r:id="rId12">
            <anchor moveWithCells="1">
              <from>
                <xdr:col>11</xdr:col>
                <xdr:colOff>47625</xdr:colOff>
                <xdr:row>13</xdr:row>
                <xdr:rowOff>0</xdr:rowOff>
              </from>
              <to>
                <xdr:col>12</xdr:col>
                <xdr:colOff>9525</xdr:colOff>
                <xdr:row>14</xdr:row>
                <xdr:rowOff>57150</xdr:rowOff>
              </to>
            </anchor>
          </controlPr>
        </control>
      </mc:Choice>
      <mc:Fallback>
        <control shapeId="52231" r:id="rId11" name="ScrollBar7"/>
      </mc:Fallback>
    </mc:AlternateContent>
    <mc:AlternateContent xmlns:mc="http://schemas.openxmlformats.org/markup-compatibility/2006">
      <mc:Choice Requires="x14">
        <control shapeId="52232" r:id="rId13" name="ScrollBar8">
          <controlPr defaultSize="0" autoLine="0" linkedCell="M16" r:id="rId14">
            <anchor moveWithCells="1">
              <from>
                <xdr:col>11</xdr:col>
                <xdr:colOff>57150</xdr:colOff>
                <xdr:row>17</xdr:row>
                <xdr:rowOff>19050</xdr:rowOff>
              </from>
              <to>
                <xdr:col>12</xdr:col>
                <xdr:colOff>0</xdr:colOff>
                <xdr:row>18</xdr:row>
                <xdr:rowOff>66675</xdr:rowOff>
              </to>
            </anchor>
          </controlPr>
        </control>
      </mc:Choice>
      <mc:Fallback>
        <control shapeId="52232" r:id="rId13" name="ScrollBar8"/>
      </mc:Fallback>
    </mc:AlternateContent>
    <mc:AlternateContent xmlns:mc="http://schemas.openxmlformats.org/markup-compatibility/2006">
      <mc:Choice Requires="x14">
        <control shapeId="52233" r:id="rId15" name="ScrollBar9">
          <controlPr defaultSize="0" autoLine="0" linkedCell="M20" r:id="rId16">
            <anchor moveWithCells="1">
              <from>
                <xdr:col>11</xdr:col>
                <xdr:colOff>57150</xdr:colOff>
                <xdr:row>21</xdr:row>
                <xdr:rowOff>19050</xdr:rowOff>
              </from>
              <to>
                <xdr:col>11</xdr:col>
                <xdr:colOff>990600</xdr:colOff>
                <xdr:row>22</xdr:row>
                <xdr:rowOff>66675</xdr:rowOff>
              </to>
            </anchor>
          </controlPr>
        </control>
      </mc:Choice>
      <mc:Fallback>
        <control shapeId="52233" r:id="rId15" name="ScrollBar9"/>
      </mc:Fallback>
    </mc:AlternateContent>
    <mc:AlternateContent xmlns:mc="http://schemas.openxmlformats.org/markup-compatibility/2006">
      <mc:Choice Requires="x14">
        <control shapeId="52234" r:id="rId17" name="ScrollBar10">
          <controlPr defaultSize="0" autoLine="0" linkedCell="M24" r:id="rId18">
            <anchor moveWithCells="1">
              <from>
                <xdr:col>11</xdr:col>
                <xdr:colOff>57150</xdr:colOff>
                <xdr:row>25</xdr:row>
                <xdr:rowOff>19050</xdr:rowOff>
              </from>
              <to>
                <xdr:col>11</xdr:col>
                <xdr:colOff>981075</xdr:colOff>
                <xdr:row>26</xdr:row>
                <xdr:rowOff>66675</xdr:rowOff>
              </to>
            </anchor>
          </controlPr>
        </control>
      </mc:Choice>
      <mc:Fallback>
        <control shapeId="52234" r:id="rId17" name="ScrollBar10"/>
      </mc:Fallback>
    </mc:AlternateContent>
    <mc:AlternateContent xmlns:mc="http://schemas.openxmlformats.org/markup-compatibility/2006">
      <mc:Choice Requires="x14">
        <control shapeId="52235" r:id="rId19" name="ScrollBar11">
          <controlPr defaultSize="0" autoLine="0" linkedCell="L28" r:id="rId20">
            <anchor moveWithCells="1">
              <from>
                <xdr:col>9</xdr:col>
                <xdr:colOff>0</xdr:colOff>
                <xdr:row>29</xdr:row>
                <xdr:rowOff>9525</xdr:rowOff>
              </from>
              <to>
                <xdr:col>11</xdr:col>
                <xdr:colOff>9525</xdr:colOff>
                <xdr:row>30</xdr:row>
                <xdr:rowOff>57150</xdr:rowOff>
              </to>
            </anchor>
          </controlPr>
        </control>
      </mc:Choice>
      <mc:Fallback>
        <control shapeId="52235" r:id="rId19" name="ScrollBar11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I12:R76"/>
  <sheetViews>
    <sheetView zoomScaleNormal="100" workbookViewId="0"/>
  </sheetViews>
  <sheetFormatPr defaultColWidth="9.140625" defaultRowHeight="15" x14ac:dyDescent="0.25"/>
  <cols>
    <col min="1" max="10" width="9.140625" style="281"/>
    <col min="11" max="11" width="10.140625" style="281" bestFit="1" customWidth="1"/>
    <col min="12" max="12" width="9.140625" style="281"/>
    <col min="13" max="13" width="10.140625" style="281" bestFit="1" customWidth="1"/>
    <col min="14" max="14" width="9.140625" style="281"/>
    <col min="15" max="15" width="12.140625" style="281" bestFit="1" customWidth="1"/>
    <col min="16" max="16" width="9.140625" style="281"/>
    <col min="17" max="17" width="15" style="281" customWidth="1"/>
    <col min="18" max="18" width="3.5703125" style="281" customWidth="1"/>
    <col min="19" max="19" width="10.140625" style="281" bestFit="1" customWidth="1"/>
    <col min="20" max="20" width="3.42578125" style="281" customWidth="1"/>
    <col min="21" max="21" width="1.85546875" style="281" customWidth="1"/>
    <col min="22" max="22" width="9.140625" style="281"/>
    <col min="23" max="23" width="8.5703125" style="281" customWidth="1"/>
    <col min="24" max="16384" width="9.140625" style="281"/>
  </cols>
  <sheetData>
    <row r="12" spans="18:18" x14ac:dyDescent="0.25">
      <c r="R12" s="284"/>
    </row>
    <row r="29" spans="11:11" x14ac:dyDescent="0.25">
      <c r="K29" s="283"/>
    </row>
    <row r="31" spans="11:11" x14ac:dyDescent="0.25">
      <c r="K31" s="285"/>
    </row>
    <row r="34" ht="15" customHeight="1" x14ac:dyDescent="0.25"/>
    <row r="35" ht="15" customHeight="1" x14ac:dyDescent="0.25"/>
    <row r="38" ht="15" customHeight="1" x14ac:dyDescent="0.25"/>
    <row r="39" ht="15" customHeight="1" x14ac:dyDescent="0.25"/>
    <row r="40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50" spans="9:16" ht="15" customHeight="1" x14ac:dyDescent="0.25"/>
    <row r="51" spans="9:16" ht="15" customHeight="1" x14ac:dyDescent="0.25"/>
    <row r="52" spans="9:16" ht="15" customHeight="1" x14ac:dyDescent="0.25"/>
    <row r="55" spans="9:16" ht="15" customHeight="1" x14ac:dyDescent="0.25"/>
    <row r="56" spans="9:16" ht="15" customHeight="1" x14ac:dyDescent="0.25"/>
    <row r="57" spans="9:16" ht="15" customHeight="1" x14ac:dyDescent="0.25"/>
    <row r="62" spans="9:16" x14ac:dyDescent="0.25">
      <c r="I62" s="492">
        <v>4</v>
      </c>
      <c r="J62" s="493"/>
      <c r="O62" s="492">
        <f>I74*I62</f>
        <v>25</v>
      </c>
      <c r="P62" s="493"/>
    </row>
    <row r="63" spans="9:16" x14ac:dyDescent="0.25">
      <c r="I63" s="494"/>
      <c r="J63" s="495"/>
      <c r="O63" s="494"/>
      <c r="P63" s="495"/>
    </row>
    <row r="64" spans="9:16" x14ac:dyDescent="0.25">
      <c r="I64" s="496"/>
      <c r="J64" s="497"/>
      <c r="O64" s="496"/>
      <c r="P64" s="497"/>
    </row>
    <row r="66" spans="9:16" ht="15" customHeight="1" x14ac:dyDescent="0.25">
      <c r="I66" s="492">
        <v>8</v>
      </c>
      <c r="J66" s="493"/>
      <c r="O66" s="492">
        <v>200</v>
      </c>
      <c r="P66" s="493"/>
    </row>
    <row r="67" spans="9:16" ht="15" customHeight="1" x14ac:dyDescent="0.25">
      <c r="I67" s="494"/>
      <c r="J67" s="495"/>
      <c r="O67" s="494"/>
      <c r="P67" s="495"/>
    </row>
    <row r="68" spans="9:16" ht="15" customHeight="1" x14ac:dyDescent="0.25">
      <c r="I68" s="496"/>
      <c r="J68" s="497"/>
      <c r="O68" s="496"/>
      <c r="P68" s="497"/>
    </row>
    <row r="70" spans="9:16" x14ac:dyDescent="0.25">
      <c r="I70" s="492">
        <v>50</v>
      </c>
      <c r="J70" s="493"/>
      <c r="O70" s="492">
        <f>O62*O66</f>
        <v>5000</v>
      </c>
      <c r="P70" s="493"/>
    </row>
    <row r="71" spans="9:16" x14ac:dyDescent="0.25">
      <c r="I71" s="494"/>
      <c r="J71" s="495"/>
      <c r="O71" s="494"/>
      <c r="P71" s="495"/>
    </row>
    <row r="72" spans="9:16" x14ac:dyDescent="0.25">
      <c r="I72" s="496"/>
      <c r="J72" s="497"/>
      <c r="O72" s="496"/>
      <c r="P72" s="497"/>
    </row>
    <row r="74" spans="9:16" x14ac:dyDescent="0.25">
      <c r="I74" s="492">
        <f>I70/I66</f>
        <v>6.25</v>
      </c>
      <c r="J74" s="493"/>
    </row>
    <row r="75" spans="9:16" x14ac:dyDescent="0.25">
      <c r="I75" s="494"/>
      <c r="J75" s="495"/>
    </row>
    <row r="76" spans="9:16" x14ac:dyDescent="0.25">
      <c r="I76" s="496"/>
      <c r="J76" s="497"/>
    </row>
  </sheetData>
  <mergeCells count="7">
    <mergeCell ref="I62:J64"/>
    <mergeCell ref="I66:J68"/>
    <mergeCell ref="I70:J72"/>
    <mergeCell ref="I74:J76"/>
    <mergeCell ref="O62:P64"/>
    <mergeCell ref="O66:P68"/>
    <mergeCell ref="O70:P72"/>
  </mergeCells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/>
  <dimension ref="A1"/>
  <sheetViews>
    <sheetView zoomScale="80" zoomScaleNormal="80" workbookViewId="0">
      <selection activeCell="Q26" sqref="Q26"/>
    </sheetView>
  </sheetViews>
  <sheetFormatPr defaultColWidth="9.140625" defaultRowHeight="15" x14ac:dyDescent="0.25"/>
  <cols>
    <col min="1" max="16384" width="9.140625" style="282"/>
  </cols>
  <sheetData>
    <row r="1" spans="1:1" x14ac:dyDescent="0.25">
      <c r="A1" s="281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N28"/>
  <sheetViews>
    <sheetView zoomScaleNormal="100" workbookViewId="0"/>
  </sheetViews>
  <sheetFormatPr defaultColWidth="9.140625" defaultRowHeight="15" x14ac:dyDescent="0.25"/>
  <cols>
    <col min="1" max="12" width="9.140625" style="281"/>
    <col min="13" max="13" width="6.42578125" style="281" customWidth="1"/>
    <col min="14" max="14" width="4.42578125" style="281" customWidth="1"/>
    <col min="15" max="16384" width="9.140625" style="281"/>
  </cols>
  <sheetData>
    <row r="28" spans="40:40" x14ac:dyDescent="0.25">
      <c r="AN28" s="281" t="s">
        <v>308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1"/>
  <dimension ref="A1"/>
  <sheetViews>
    <sheetView workbookViewId="0"/>
  </sheetViews>
  <sheetFormatPr defaultColWidth="9.140625" defaultRowHeight="15" x14ac:dyDescent="0.25"/>
  <cols>
    <col min="1" max="16384" width="9.140625" style="281"/>
  </cols>
  <sheetData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M28"/>
  <sheetViews>
    <sheetView zoomScaleNormal="100" workbookViewId="0"/>
  </sheetViews>
  <sheetFormatPr defaultColWidth="9.140625" defaultRowHeight="15" x14ac:dyDescent="0.25"/>
  <cols>
    <col min="1" max="11" width="9.140625" style="281"/>
    <col min="12" max="12" width="6.42578125" style="281" customWidth="1"/>
    <col min="13" max="13" width="4.42578125" style="281" customWidth="1"/>
    <col min="14" max="16384" width="9.140625" style="281"/>
  </cols>
  <sheetData>
    <row r="28" spans="39:39" x14ac:dyDescent="0.25">
      <c r="AM28" s="281" t="s">
        <v>308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/>
  <dimension ref="A1:AJ24"/>
  <sheetViews>
    <sheetView zoomScale="70" zoomScaleNormal="70" workbookViewId="0"/>
  </sheetViews>
  <sheetFormatPr defaultColWidth="9.140625" defaultRowHeight="15" x14ac:dyDescent="0.25"/>
  <cols>
    <col min="1" max="8" width="9.140625" style="281"/>
    <col min="9" max="9" width="6.42578125" style="281" customWidth="1"/>
    <col min="10" max="10" width="4.42578125" style="281" customWidth="1"/>
    <col min="11" max="16384" width="9.140625" style="281"/>
  </cols>
  <sheetData>
    <row r="1" spans="1:1" x14ac:dyDescent="0.25">
      <c r="A1" s="289"/>
    </row>
    <row r="24" spans="36:36" x14ac:dyDescent="0.25">
      <c r="AJ24" s="281" t="s">
        <v>308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tabColor rgb="FFFFFF00"/>
  </sheetPr>
  <dimension ref="A1:E11"/>
  <sheetViews>
    <sheetView workbookViewId="0"/>
  </sheetViews>
  <sheetFormatPr defaultColWidth="9.140625" defaultRowHeight="15" x14ac:dyDescent="0.25"/>
  <cols>
    <col min="1" max="1" width="2.28515625" style="261" customWidth="1"/>
    <col min="2" max="2" width="41.140625" style="41" customWidth="1"/>
    <col min="3" max="3" width="14" style="41" bestFit="1" customWidth="1"/>
    <col min="4" max="4" width="13.140625" style="41" bestFit="1" customWidth="1"/>
    <col min="5" max="5" width="2.28515625" style="261" customWidth="1"/>
    <col min="6" max="6" width="11.5703125" style="41" bestFit="1" customWidth="1"/>
    <col min="7" max="16384" width="9.140625" style="41"/>
  </cols>
  <sheetData>
    <row r="1" spans="1:5" ht="15.75" thickBot="1" x14ac:dyDescent="0.3">
      <c r="A1" s="260"/>
      <c r="B1" s="503" t="s">
        <v>47</v>
      </c>
      <c r="C1" s="504"/>
      <c r="D1" s="504"/>
      <c r="E1" s="260"/>
    </row>
    <row r="2" spans="1:5" ht="15.75" thickTop="1" x14ac:dyDescent="0.25">
      <c r="B2" s="501" t="s">
        <v>30</v>
      </c>
      <c r="C2" s="502"/>
      <c r="D2" s="502"/>
    </row>
    <row r="4" spans="1:5" ht="15.75" thickBot="1" x14ac:dyDescent="0.3">
      <c r="B4" s="40" t="s">
        <v>301</v>
      </c>
      <c r="C4" s="40" t="s">
        <v>302</v>
      </c>
      <c r="D4" s="40" t="s">
        <v>300</v>
      </c>
    </row>
    <row r="5" spans="1:5" ht="16.5" thickBot="1" x14ac:dyDescent="0.3">
      <c r="B5" s="263" t="s">
        <v>96</v>
      </c>
      <c r="C5" s="264">
        <f>'Pre-Revenue'!$E$30</f>
        <v>1760000</v>
      </c>
      <c r="D5" s="259">
        <v>0.1</v>
      </c>
    </row>
    <row r="6" spans="1:5" ht="16.5" thickBot="1" x14ac:dyDescent="0.3">
      <c r="B6" s="263" t="s">
        <v>303</v>
      </c>
      <c r="C6" s="264">
        <f>'SaaS (Near-Term Forecast)'!$C$28</f>
        <v>11481600</v>
      </c>
      <c r="D6" s="259">
        <v>0.45</v>
      </c>
    </row>
    <row r="7" spans="1:5" ht="16.5" thickBot="1" x14ac:dyDescent="0.3">
      <c r="B7" s="263" t="s">
        <v>299</v>
      </c>
      <c r="C7" s="264">
        <f ca="1">'Exit Approach'!$C$36</f>
        <v>9773591.7695473228</v>
      </c>
      <c r="D7" s="262">
        <f>1-SUM(D5:D6)</f>
        <v>0.44999999999999996</v>
      </c>
    </row>
    <row r="8" spans="1:5" ht="15.75" thickBot="1" x14ac:dyDescent="0.3">
      <c r="B8" s="265"/>
      <c r="C8" s="266"/>
      <c r="D8" s="267"/>
    </row>
    <row r="9" spans="1:5" ht="16.5" customHeight="1" x14ac:dyDescent="0.25">
      <c r="B9" s="505" t="str">
        <f ca="1">"HeartCloud Valuation (as of "&amp;TEXT(TODAY(),"m/d/yyyy"&amp;")")</f>
        <v>HeartCloud Valuation (as of 12/1/2021)</v>
      </c>
      <c r="C9" s="507">
        <f ca="1">ROUND((($C$5*$D$5)+($C$6*$D$6)+($C$7*$D$7)),-6)</f>
        <v>10000000</v>
      </c>
      <c r="D9" s="508"/>
    </row>
    <row r="10" spans="1:5" ht="15.75" thickBot="1" x14ac:dyDescent="0.3">
      <c r="B10" s="506"/>
      <c r="C10" s="509"/>
      <c r="D10" s="510"/>
    </row>
    <row r="11" spans="1:5" x14ac:dyDescent="0.25">
      <c r="B11" s="498" t="s">
        <v>305</v>
      </c>
      <c r="C11" s="499"/>
      <c r="D11" s="500"/>
    </row>
  </sheetData>
  <mergeCells count="5">
    <mergeCell ref="B11:D11"/>
    <mergeCell ref="B2:D2"/>
    <mergeCell ref="B1:D1"/>
    <mergeCell ref="B9:B10"/>
    <mergeCell ref="C9:D1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tabColor theme="8" tint="0.39997558519241921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theme="8" tint="0.39997558519241921"/>
  </sheetPr>
  <dimension ref="A1:J30"/>
  <sheetViews>
    <sheetView workbookViewId="0"/>
  </sheetViews>
  <sheetFormatPr defaultRowHeight="15" x14ac:dyDescent="0.25"/>
  <cols>
    <col min="1" max="1" width="2.28515625" style="24" customWidth="1"/>
    <col min="2" max="2" width="29.28515625" customWidth="1"/>
    <col min="3" max="3" width="14" style="41" bestFit="1" customWidth="1"/>
    <col min="4" max="4" width="13.42578125" bestFit="1" customWidth="1"/>
    <col min="5" max="5" width="23" style="41" bestFit="1" customWidth="1"/>
    <col min="6" max="6" width="21" style="41" bestFit="1" customWidth="1"/>
    <col min="7" max="7" width="2.28515625" style="24" customWidth="1"/>
    <col min="8" max="8" width="10.28515625" bestFit="1" customWidth="1"/>
    <col min="9" max="9" width="13.42578125" bestFit="1" customWidth="1"/>
    <col min="10" max="10" width="2.28515625" style="24" customWidth="1"/>
  </cols>
  <sheetData>
    <row r="1" spans="1:10" ht="15.75" thickBot="1" x14ac:dyDescent="0.3">
      <c r="A1" s="23"/>
      <c r="B1" s="518" t="s">
        <v>47</v>
      </c>
      <c r="C1" s="519"/>
      <c r="D1" s="519"/>
      <c r="E1" s="519"/>
      <c r="F1" s="520"/>
      <c r="G1" s="23"/>
      <c r="H1" s="515" t="s">
        <v>111</v>
      </c>
      <c r="I1" s="517"/>
      <c r="J1" s="23"/>
    </row>
    <row r="2" spans="1:10" ht="16.5" thickTop="1" thickBot="1" x14ac:dyDescent="0.3">
      <c r="B2" s="521" t="s">
        <v>30</v>
      </c>
      <c r="C2" s="522"/>
      <c r="D2" s="522"/>
      <c r="E2" s="522"/>
      <c r="F2" s="523"/>
    </row>
    <row r="3" spans="1:10" ht="15.75" thickBot="1" x14ac:dyDescent="0.3">
      <c r="B3" s="515" t="s">
        <v>114</v>
      </c>
      <c r="C3" s="516"/>
      <c r="D3" s="516"/>
      <c r="E3" s="516"/>
      <c r="F3" s="517"/>
    </row>
    <row r="4" spans="1:10" ht="15.75" thickTop="1" x14ac:dyDescent="0.25">
      <c r="B4" s="29" t="s">
        <v>94</v>
      </c>
      <c r="C4" s="29" t="s">
        <v>87</v>
      </c>
      <c r="D4" s="29" t="s">
        <v>85</v>
      </c>
      <c r="E4" s="29" t="s">
        <v>89</v>
      </c>
      <c r="F4" s="29" t="s">
        <v>112</v>
      </c>
      <c r="H4" s="29" t="s">
        <v>84</v>
      </c>
      <c r="I4" s="29" t="s">
        <v>85</v>
      </c>
    </row>
    <row r="5" spans="1:10" x14ac:dyDescent="0.25">
      <c r="B5" t="s">
        <v>78</v>
      </c>
      <c r="C5" s="48" t="s">
        <v>92</v>
      </c>
      <c r="D5" s="49">
        <f t="shared" ref="D5:D10" si="0">VLOOKUP($C5,$H$5:$I$9,2,FALSE)</f>
        <v>400000</v>
      </c>
      <c r="E5" s="47" t="s">
        <v>90</v>
      </c>
      <c r="F5" s="57">
        <v>0.1</v>
      </c>
      <c r="H5" s="2" t="s">
        <v>82</v>
      </c>
      <c r="I5" s="45">
        <v>100000</v>
      </c>
    </row>
    <row r="6" spans="1:10" x14ac:dyDescent="0.25">
      <c r="B6" t="s">
        <v>79</v>
      </c>
      <c r="C6" s="48" t="s">
        <v>92</v>
      </c>
      <c r="D6" s="49">
        <f t="shared" si="0"/>
        <v>400000</v>
      </c>
      <c r="E6" s="47" t="s">
        <v>98</v>
      </c>
      <c r="F6" s="57">
        <v>0.2</v>
      </c>
      <c r="H6" s="2" t="s">
        <v>83</v>
      </c>
      <c r="I6" s="45">
        <v>200000</v>
      </c>
    </row>
    <row r="7" spans="1:10" x14ac:dyDescent="0.25">
      <c r="B7" t="s">
        <v>88</v>
      </c>
      <c r="C7" s="48" t="s">
        <v>83</v>
      </c>
      <c r="D7" s="49">
        <f t="shared" si="0"/>
        <v>200000</v>
      </c>
      <c r="E7" s="47" t="s">
        <v>99</v>
      </c>
      <c r="F7" s="57">
        <v>0.15</v>
      </c>
      <c r="H7" s="2" t="s">
        <v>74</v>
      </c>
      <c r="I7" s="45">
        <v>300000</v>
      </c>
    </row>
    <row r="8" spans="1:10" x14ac:dyDescent="0.25">
      <c r="B8" t="s">
        <v>91</v>
      </c>
      <c r="C8" s="48" t="s">
        <v>93</v>
      </c>
      <c r="D8" s="49">
        <f t="shared" si="0"/>
        <v>500000</v>
      </c>
      <c r="E8" s="47" t="s">
        <v>101</v>
      </c>
      <c r="F8" s="57">
        <v>0.2</v>
      </c>
      <c r="H8" s="2" t="s">
        <v>92</v>
      </c>
      <c r="I8" s="45">
        <v>400000</v>
      </c>
    </row>
    <row r="9" spans="1:10" x14ac:dyDescent="0.25">
      <c r="B9" t="s">
        <v>80</v>
      </c>
      <c r="C9" s="48" t="s">
        <v>74</v>
      </c>
      <c r="D9" s="49">
        <f t="shared" si="0"/>
        <v>300000</v>
      </c>
      <c r="E9" s="47" t="s">
        <v>100</v>
      </c>
      <c r="F9" s="57">
        <v>0.15</v>
      </c>
      <c r="H9" s="2" t="s">
        <v>93</v>
      </c>
      <c r="I9" s="45">
        <v>500000</v>
      </c>
    </row>
    <row r="10" spans="1:10" x14ac:dyDescent="0.25">
      <c r="B10" t="s">
        <v>81</v>
      </c>
      <c r="C10" s="48" t="s">
        <v>83</v>
      </c>
      <c r="D10" s="49">
        <f t="shared" si="0"/>
        <v>200000</v>
      </c>
      <c r="E10" s="47" t="s">
        <v>67</v>
      </c>
      <c r="F10" s="58">
        <f>1-SUM(F5:F9)</f>
        <v>0.19999999999999984</v>
      </c>
    </row>
    <row r="11" spans="1:10" ht="15.75" thickBot="1" x14ac:dyDescent="0.3"/>
    <row r="12" spans="1:10" ht="16.5" thickBot="1" x14ac:dyDescent="0.3">
      <c r="B12" s="526" t="s">
        <v>102</v>
      </c>
      <c r="C12" s="527"/>
      <c r="D12" s="524">
        <f>(($D$5*$F$5)+($D$6*$F$6)+($D$7*$F$7)+($D$8*$F$8)+($D$9*$F$9)+($D$10*$F$10))*COUNT($D$5:$D$10)</f>
        <v>2010000</v>
      </c>
      <c r="E12" s="524"/>
      <c r="F12" s="525"/>
    </row>
    <row r="15" spans="1:10" ht="15.75" thickBot="1" x14ac:dyDescent="0.3">
      <c r="B15" s="515" t="s">
        <v>113</v>
      </c>
      <c r="C15" s="516"/>
      <c r="D15" s="516"/>
      <c r="E15" s="516"/>
      <c r="F15" s="517"/>
    </row>
    <row r="16" spans="1:10" ht="15.75" thickTop="1" x14ac:dyDescent="0.25">
      <c r="B16" s="29" t="s">
        <v>97</v>
      </c>
      <c r="C16" s="29" t="s">
        <v>71</v>
      </c>
      <c r="D16" s="29" t="s">
        <v>86</v>
      </c>
      <c r="E16" s="29" t="s">
        <v>95</v>
      </c>
      <c r="F16" s="29" t="s">
        <v>106</v>
      </c>
      <c r="H16" s="29" t="s">
        <v>71</v>
      </c>
      <c r="I16" s="29" t="s">
        <v>77</v>
      </c>
    </row>
    <row r="17" spans="2:9" x14ac:dyDescent="0.25">
      <c r="B17" s="42" t="s">
        <v>63</v>
      </c>
      <c r="C17" s="48" t="s">
        <v>75</v>
      </c>
      <c r="D17" s="54">
        <f t="shared" ref="D17:D28" si="1">IF($C17="",0,VLOOKUP($C17,$H$17:$I$21,2,FALSE))</f>
        <v>-250000</v>
      </c>
      <c r="E17" s="49">
        <f>$D$12+D17</f>
        <v>1760000</v>
      </c>
      <c r="F17" s="47" t="s">
        <v>107</v>
      </c>
      <c r="H17" s="2" t="s">
        <v>72</v>
      </c>
      <c r="I17" s="45">
        <v>500000</v>
      </c>
    </row>
    <row r="18" spans="2:9" x14ac:dyDescent="0.25">
      <c r="B18" s="42" t="s">
        <v>105</v>
      </c>
      <c r="C18" s="48" t="s">
        <v>74</v>
      </c>
      <c r="D18" s="54">
        <f t="shared" si="1"/>
        <v>0</v>
      </c>
      <c r="E18" s="49">
        <f>$E17+D18</f>
        <v>1760000</v>
      </c>
      <c r="F18" s="47"/>
      <c r="H18" s="2" t="s">
        <v>73</v>
      </c>
      <c r="I18" s="45">
        <v>250000</v>
      </c>
    </row>
    <row r="19" spans="2:9" x14ac:dyDescent="0.25">
      <c r="B19" s="42" t="s">
        <v>64</v>
      </c>
      <c r="C19" s="48" t="s">
        <v>73</v>
      </c>
      <c r="D19" s="54">
        <f t="shared" si="1"/>
        <v>250000</v>
      </c>
      <c r="E19" s="49">
        <f t="shared" ref="E19:E28" si="2">$E18+D19</f>
        <v>2010000</v>
      </c>
      <c r="F19" s="47"/>
      <c r="H19" s="2" t="s">
        <v>74</v>
      </c>
      <c r="I19" s="45">
        <v>0</v>
      </c>
    </row>
    <row r="20" spans="2:9" x14ac:dyDescent="0.25">
      <c r="B20" s="42" t="s">
        <v>65</v>
      </c>
      <c r="C20" s="48" t="s">
        <v>74</v>
      </c>
      <c r="D20" s="54">
        <f t="shared" si="1"/>
        <v>0</v>
      </c>
      <c r="E20" s="49">
        <f t="shared" si="2"/>
        <v>2010000</v>
      </c>
      <c r="F20" s="47"/>
      <c r="H20" s="2" t="s">
        <v>75</v>
      </c>
      <c r="I20" s="45">
        <v>-250000</v>
      </c>
    </row>
    <row r="21" spans="2:9" x14ac:dyDescent="0.25">
      <c r="B21" s="42" t="s">
        <v>110</v>
      </c>
      <c r="C21" s="48" t="s">
        <v>73</v>
      </c>
      <c r="D21" s="54">
        <f t="shared" si="1"/>
        <v>250000</v>
      </c>
      <c r="E21" s="49">
        <f t="shared" si="2"/>
        <v>2260000</v>
      </c>
      <c r="F21" s="47"/>
      <c r="H21" s="2" t="s">
        <v>76</v>
      </c>
      <c r="I21" s="45">
        <v>-500000</v>
      </c>
    </row>
    <row r="22" spans="2:9" x14ac:dyDescent="0.25">
      <c r="B22" s="42" t="s">
        <v>66</v>
      </c>
      <c r="C22" s="48" t="s">
        <v>74</v>
      </c>
      <c r="D22" s="54">
        <f t="shared" si="1"/>
        <v>0</v>
      </c>
      <c r="E22" s="49">
        <f t="shared" si="2"/>
        <v>2260000</v>
      </c>
      <c r="F22" s="47"/>
    </row>
    <row r="23" spans="2:9" x14ac:dyDescent="0.25">
      <c r="B23" s="42" t="s">
        <v>67</v>
      </c>
      <c r="C23" s="48" t="s">
        <v>74</v>
      </c>
      <c r="D23" s="54">
        <f t="shared" si="1"/>
        <v>0</v>
      </c>
      <c r="E23" s="49">
        <f t="shared" si="2"/>
        <v>2260000</v>
      </c>
      <c r="F23" s="47"/>
    </row>
    <row r="24" spans="2:9" x14ac:dyDescent="0.25">
      <c r="B24" s="42" t="s">
        <v>68</v>
      </c>
      <c r="C24" s="48" t="s">
        <v>75</v>
      </c>
      <c r="D24" s="54">
        <f t="shared" si="1"/>
        <v>-250000</v>
      </c>
      <c r="E24" s="49">
        <f t="shared" si="2"/>
        <v>2010000</v>
      </c>
      <c r="F24" s="47" t="s">
        <v>108</v>
      </c>
    </row>
    <row r="25" spans="2:9" x14ac:dyDescent="0.25">
      <c r="B25" s="42" t="s">
        <v>70</v>
      </c>
      <c r="C25" s="48" t="s">
        <v>75</v>
      </c>
      <c r="D25" s="54">
        <f t="shared" si="1"/>
        <v>-250000</v>
      </c>
      <c r="E25" s="49">
        <f t="shared" si="2"/>
        <v>1760000</v>
      </c>
      <c r="F25" s="47" t="s">
        <v>109</v>
      </c>
    </row>
    <row r="26" spans="2:9" x14ac:dyDescent="0.25">
      <c r="B26" s="42" t="s">
        <v>103</v>
      </c>
      <c r="C26" s="48" t="s">
        <v>74</v>
      </c>
      <c r="D26" s="54">
        <f t="shared" si="1"/>
        <v>0</v>
      </c>
      <c r="E26" s="49">
        <f t="shared" si="2"/>
        <v>1760000</v>
      </c>
      <c r="F26" s="47"/>
    </row>
    <row r="27" spans="2:9" x14ac:dyDescent="0.25">
      <c r="B27" s="42" t="s">
        <v>69</v>
      </c>
      <c r="C27" s="48" t="s">
        <v>74</v>
      </c>
      <c r="D27" s="54">
        <f t="shared" si="1"/>
        <v>0</v>
      </c>
      <c r="E27" s="49">
        <f t="shared" si="2"/>
        <v>1760000</v>
      </c>
      <c r="F27" s="47"/>
    </row>
    <row r="28" spans="2:9" x14ac:dyDescent="0.25">
      <c r="B28" s="42" t="s">
        <v>104</v>
      </c>
      <c r="C28" s="48" t="s">
        <v>74</v>
      </c>
      <c r="D28" s="54">
        <f t="shared" si="1"/>
        <v>0</v>
      </c>
      <c r="E28" s="49">
        <f t="shared" si="2"/>
        <v>1760000</v>
      </c>
      <c r="F28" s="47"/>
    </row>
    <row r="29" spans="2:9" ht="15.75" thickBot="1" x14ac:dyDescent="0.3">
      <c r="B29" s="42"/>
      <c r="E29" s="46"/>
      <c r="F29" s="46"/>
    </row>
    <row r="30" spans="2:9" ht="16.5" thickBot="1" x14ac:dyDescent="0.3">
      <c r="B30" s="511" t="s">
        <v>96</v>
      </c>
      <c r="C30" s="512"/>
      <c r="D30" s="512"/>
      <c r="E30" s="513">
        <f>$E$28</f>
        <v>1760000</v>
      </c>
      <c r="F30" s="514"/>
    </row>
  </sheetData>
  <mergeCells count="9">
    <mergeCell ref="B30:D30"/>
    <mergeCell ref="E30:F30"/>
    <mergeCell ref="B3:F3"/>
    <mergeCell ref="H1:I1"/>
    <mergeCell ref="B1:F1"/>
    <mergeCell ref="B2:F2"/>
    <mergeCell ref="D12:F12"/>
    <mergeCell ref="B15:F15"/>
    <mergeCell ref="B12:C12"/>
  </mergeCells>
  <dataValidations count="2">
    <dataValidation type="list" allowBlank="1" showInputMessage="1" showErrorMessage="1" sqref="C5:C10">
      <formula1>$H$5:$H$9</formula1>
    </dataValidation>
    <dataValidation type="list" allowBlank="1" showInputMessage="1" showErrorMessage="1" sqref="C17:C28">
      <formula1>$H$17:$H$21</formula1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1">
    <tabColor theme="8" tint="0.39997558519241921"/>
  </sheetPr>
  <dimension ref="A1:AL181"/>
  <sheetViews>
    <sheetView workbookViewId="0">
      <pane ySplit="1" topLeftCell="A2" activePane="bottomLeft" state="frozen"/>
      <selection pane="bottomLeft" activeCell="C7" sqref="C7"/>
    </sheetView>
  </sheetViews>
  <sheetFormatPr defaultRowHeight="15" x14ac:dyDescent="0.25"/>
  <cols>
    <col min="1" max="1" width="2.28515625" style="24" customWidth="1"/>
    <col min="2" max="2" width="35" style="3" bestFit="1" customWidth="1"/>
    <col min="3" max="3" width="15.42578125" style="3" bestFit="1" customWidth="1"/>
    <col min="4" max="4" width="2.28515625" style="24" customWidth="1"/>
    <col min="5" max="5" width="34.85546875" bestFit="1" customWidth="1"/>
    <col min="6" max="6" width="12.42578125" style="2" customWidth="1"/>
    <col min="7" max="7" width="2.28515625" style="24" customWidth="1"/>
    <col min="8" max="8" width="9.140625" style="3"/>
    <col min="9" max="9" width="16.5703125" style="2" bestFit="1" customWidth="1"/>
    <col min="10" max="10" width="14.42578125" style="2" bestFit="1" customWidth="1"/>
    <col min="11" max="11" width="14.42578125" style="5" customWidth="1"/>
    <col min="12" max="12" width="14.42578125" style="2" customWidth="1"/>
    <col min="13" max="13" width="19" style="2" bestFit="1" customWidth="1"/>
    <col min="14" max="14" width="19.5703125" style="2" bestFit="1" customWidth="1"/>
    <col min="15" max="15" width="2.28515625" style="24" customWidth="1"/>
    <col min="16" max="16" width="14.42578125" style="4" bestFit="1" customWidth="1"/>
    <col min="17" max="18" width="10.85546875" style="2" customWidth="1"/>
    <col min="19" max="28" width="10.85546875" customWidth="1"/>
    <col min="29" max="29" width="2.28515625" style="24" customWidth="1"/>
    <col min="30" max="31" width="15.42578125" style="33" hidden="1" customWidth="1"/>
    <col min="32" max="32" width="20.5703125" bestFit="1" customWidth="1"/>
    <col min="33" max="37" width="15.42578125" bestFit="1" customWidth="1"/>
    <col min="38" max="38" width="2.28515625" style="24" customWidth="1"/>
  </cols>
  <sheetData>
    <row r="1" spans="1:38" s="6" customFormat="1" ht="15.75" thickBot="1" x14ac:dyDescent="0.3">
      <c r="A1" s="23"/>
      <c r="B1" s="519" t="s">
        <v>47</v>
      </c>
      <c r="C1" s="519"/>
      <c r="D1" s="23"/>
      <c r="E1" s="531" t="s">
        <v>48</v>
      </c>
      <c r="F1" s="531"/>
      <c r="G1" s="23"/>
      <c r="H1" s="26" t="s">
        <v>3</v>
      </c>
      <c r="I1" s="26" t="s">
        <v>12</v>
      </c>
      <c r="J1" s="26" t="s">
        <v>13</v>
      </c>
      <c r="K1" s="27" t="s">
        <v>15</v>
      </c>
      <c r="L1" s="26" t="s">
        <v>11</v>
      </c>
      <c r="M1" s="26" t="s">
        <v>32</v>
      </c>
      <c r="N1" s="26" t="s">
        <v>33</v>
      </c>
      <c r="O1" s="23"/>
      <c r="P1" s="26" t="s">
        <v>1</v>
      </c>
      <c r="Q1" s="26" cm="1">
        <f t="array" ref="Q1:AB1">TRANSPOSE($H$2:$H$13)</f>
        <v>30</v>
      </c>
      <c r="R1" s="26">
        <v>60</v>
      </c>
      <c r="S1" s="26">
        <v>90</v>
      </c>
      <c r="T1" s="26">
        <v>120</v>
      </c>
      <c r="U1" s="26">
        <v>150</v>
      </c>
      <c r="V1" s="26">
        <v>180</v>
      </c>
      <c r="W1" s="26">
        <v>210</v>
      </c>
      <c r="X1" s="26">
        <v>240</v>
      </c>
      <c r="Y1" s="26">
        <v>270</v>
      </c>
      <c r="Z1" s="26">
        <v>300</v>
      </c>
      <c r="AA1" s="26">
        <v>330</v>
      </c>
      <c r="AB1" s="26">
        <v>360</v>
      </c>
      <c r="AC1" s="23"/>
      <c r="AD1" s="32"/>
      <c r="AE1" s="32"/>
      <c r="AF1" s="28" t="s">
        <v>35</v>
      </c>
      <c r="AG1" s="26" t="s">
        <v>36</v>
      </c>
      <c r="AH1" s="26" t="s">
        <v>37</v>
      </c>
      <c r="AI1" s="26" t="s">
        <v>38</v>
      </c>
      <c r="AJ1" s="26" t="s">
        <v>39</v>
      </c>
      <c r="AK1" s="26" t="s">
        <v>40</v>
      </c>
      <c r="AL1" s="23"/>
    </row>
    <row r="2" spans="1:38" ht="16.5" thickTop="1" thickBot="1" x14ac:dyDescent="0.3">
      <c r="B2" s="521" t="s">
        <v>30</v>
      </c>
      <c r="C2" s="523"/>
      <c r="E2" s="521" t="s">
        <v>30</v>
      </c>
      <c r="F2" s="523"/>
      <c r="H2" s="3">
        <v>30</v>
      </c>
      <c r="I2" s="8">
        <f t="shared" ref="I2:I13" si="0">ROUNDUP(($F$5*$F$6)*($H2/($F$7*7)),0)</f>
        <v>9</v>
      </c>
      <c r="J2" s="8">
        <f>IF(I1="Cumulative Deals",I2,I2-I1)</f>
        <v>9</v>
      </c>
      <c r="K2" s="5">
        <f>J2/I2</f>
        <v>1</v>
      </c>
      <c r="L2" s="15" cm="1">
        <f t="array" ref="L2:L13">TRANSPOSE(Q14:$AB$14)</f>
        <v>7200</v>
      </c>
      <c r="M2" s="19">
        <f t="shared" ref="M2:M13" si="1">L2*$F$14</f>
        <v>144000</v>
      </c>
      <c r="N2" s="19">
        <f>M2*12</f>
        <v>1728000</v>
      </c>
      <c r="P2" s="14" t="s">
        <v>18</v>
      </c>
      <c r="Q2" s="15">
        <f t="shared" ref="Q2:AB2" si="2">IF(($J2*(Q$1/30)*$F$15)&gt;=$F$13,$F$13*$J2,$J2*(Q$1/30)*$F$15)</f>
        <v>7200</v>
      </c>
      <c r="R2" s="15">
        <f t="shared" si="2"/>
        <v>7200</v>
      </c>
      <c r="S2" s="15">
        <f t="shared" si="2"/>
        <v>7200</v>
      </c>
      <c r="T2" s="15">
        <f t="shared" si="2"/>
        <v>7200</v>
      </c>
      <c r="U2" s="15">
        <f t="shared" si="2"/>
        <v>7200</v>
      </c>
      <c r="V2" s="15">
        <f t="shared" si="2"/>
        <v>7200</v>
      </c>
      <c r="W2" s="15">
        <f t="shared" si="2"/>
        <v>7200</v>
      </c>
      <c r="X2" s="15">
        <f t="shared" si="2"/>
        <v>7200</v>
      </c>
      <c r="Y2" s="15">
        <f t="shared" si="2"/>
        <v>7200</v>
      </c>
      <c r="Z2" s="15">
        <f t="shared" si="2"/>
        <v>7200</v>
      </c>
      <c r="AA2" s="15">
        <f t="shared" si="2"/>
        <v>7200</v>
      </c>
      <c r="AB2" s="15">
        <f t="shared" si="2"/>
        <v>7200</v>
      </c>
      <c r="AD2" s="8">
        <f>IF($C$7&lt;=AE3,1,0)</f>
        <v>0</v>
      </c>
      <c r="AE2" s="34">
        <v>0</v>
      </c>
      <c r="AF2" s="2" t="s">
        <v>41</v>
      </c>
      <c r="AG2" s="9">
        <v>0.14000000000000001</v>
      </c>
      <c r="AH2" s="9">
        <v>0.3</v>
      </c>
      <c r="AI2" s="9">
        <v>0.68</v>
      </c>
      <c r="AJ2" s="9">
        <v>1.2</v>
      </c>
      <c r="AK2" s="9">
        <v>2.42</v>
      </c>
    </row>
    <row r="3" spans="1:38" x14ac:dyDescent="0.25">
      <c r="H3" s="3">
        <v>60</v>
      </c>
      <c r="I3" s="8">
        <f t="shared" si="0"/>
        <v>18</v>
      </c>
      <c r="J3" s="8">
        <f>IF(I2="Cumulative Deals",I3,I3-I2)</f>
        <v>9</v>
      </c>
      <c r="K3" s="5">
        <f t="shared" ref="K3:K6" si="3">J3/I3</f>
        <v>0.5</v>
      </c>
      <c r="L3" s="15">
        <v>14400</v>
      </c>
      <c r="M3" s="19">
        <f t="shared" si="1"/>
        <v>288000</v>
      </c>
      <c r="N3" s="19">
        <f t="shared" ref="N3:N13" si="4">M3*12</f>
        <v>3456000</v>
      </c>
      <c r="P3" s="14" t="s">
        <v>19</v>
      </c>
      <c r="Q3" s="16"/>
      <c r="R3" s="15">
        <f t="shared" ref="R3:AB3" si="5">IF(($J3*(R$1/30)*$F$15)&gt;=$F$13,$F$13*$J3,$J3*(R$1/30)*$F$15)</f>
        <v>7200</v>
      </c>
      <c r="S3" s="15">
        <f t="shared" si="5"/>
        <v>7200</v>
      </c>
      <c r="T3" s="15">
        <f t="shared" si="5"/>
        <v>7200</v>
      </c>
      <c r="U3" s="15">
        <f t="shared" si="5"/>
        <v>7200</v>
      </c>
      <c r="V3" s="15">
        <f t="shared" si="5"/>
        <v>7200</v>
      </c>
      <c r="W3" s="15">
        <f t="shared" si="5"/>
        <v>7200</v>
      </c>
      <c r="X3" s="15">
        <f t="shared" si="5"/>
        <v>7200</v>
      </c>
      <c r="Y3" s="15">
        <f t="shared" si="5"/>
        <v>7200</v>
      </c>
      <c r="Z3" s="15">
        <f t="shared" si="5"/>
        <v>7200</v>
      </c>
      <c r="AA3" s="15">
        <f t="shared" si="5"/>
        <v>7200</v>
      </c>
      <c r="AB3" s="15">
        <f t="shared" si="5"/>
        <v>7200</v>
      </c>
      <c r="AD3" s="8">
        <f>IF(AND($C$7&gt;AE3,$C$7&lt;=AE4),1,0)</f>
        <v>0</v>
      </c>
      <c r="AE3" s="34">
        <v>1000000</v>
      </c>
      <c r="AF3" s="2" t="s">
        <v>52</v>
      </c>
      <c r="AG3" s="9">
        <v>0.1</v>
      </c>
      <c r="AH3" s="9">
        <v>0.24</v>
      </c>
      <c r="AI3" s="9">
        <v>0.45</v>
      </c>
      <c r="AJ3" s="9">
        <v>0.91</v>
      </c>
      <c r="AK3" s="9">
        <v>2.52</v>
      </c>
    </row>
    <row r="4" spans="1:38" x14ac:dyDescent="0.25">
      <c r="B4" s="528" t="s">
        <v>49</v>
      </c>
      <c r="C4" s="529"/>
      <c r="E4" s="530" t="s">
        <v>0</v>
      </c>
      <c r="F4" s="530"/>
      <c r="H4" s="3">
        <v>90</v>
      </c>
      <c r="I4" s="8">
        <f t="shared" si="0"/>
        <v>26</v>
      </c>
      <c r="J4" s="8">
        <f>IF(I3="Cumulative Deals",I4,I4-I3)</f>
        <v>8</v>
      </c>
      <c r="K4" s="5">
        <f t="shared" si="3"/>
        <v>0.30769230769230771</v>
      </c>
      <c r="L4" s="15">
        <v>20800</v>
      </c>
      <c r="M4" s="19">
        <f t="shared" si="1"/>
        <v>416000</v>
      </c>
      <c r="N4" s="19">
        <f t="shared" si="4"/>
        <v>4992000</v>
      </c>
      <c r="P4" s="14" t="s">
        <v>20</v>
      </c>
      <c r="Q4" s="16"/>
      <c r="R4" s="16"/>
      <c r="S4" s="15">
        <f t="shared" ref="S4:AB4" si="6">IF(($J4*(S$1/30)*$F$15)&gt;=$F$13,$F$13*$J4,$J4*(S$1/30)*$F$15)</f>
        <v>6400</v>
      </c>
      <c r="T4" s="15">
        <f t="shared" si="6"/>
        <v>6400</v>
      </c>
      <c r="U4" s="15">
        <f t="shared" si="6"/>
        <v>6400</v>
      </c>
      <c r="V4" s="15">
        <f t="shared" si="6"/>
        <v>6400</v>
      </c>
      <c r="W4" s="15">
        <f t="shared" si="6"/>
        <v>6400</v>
      </c>
      <c r="X4" s="15">
        <f t="shared" si="6"/>
        <v>6400</v>
      </c>
      <c r="Y4" s="15">
        <f t="shared" si="6"/>
        <v>6400</v>
      </c>
      <c r="Z4" s="15">
        <f t="shared" si="6"/>
        <v>6400</v>
      </c>
      <c r="AA4" s="15">
        <f t="shared" si="6"/>
        <v>6400</v>
      </c>
      <c r="AB4" s="15">
        <f t="shared" si="6"/>
        <v>6400</v>
      </c>
      <c r="AD4" s="8">
        <f t="shared" ref="AD4:AD7" si="7">IF(AND($C$7&gt;AE4,$C$7&lt;=AE5),1,0)</f>
        <v>1</v>
      </c>
      <c r="AE4" s="34">
        <v>3000000</v>
      </c>
      <c r="AF4" s="2" t="s">
        <v>42</v>
      </c>
      <c r="AG4" s="9">
        <v>0.04</v>
      </c>
      <c r="AH4" s="9">
        <v>0.2</v>
      </c>
      <c r="AI4" s="9">
        <v>0.35</v>
      </c>
      <c r="AJ4" s="9">
        <v>0.69</v>
      </c>
      <c r="AK4" s="9">
        <v>1.6</v>
      </c>
    </row>
    <row r="5" spans="1:38" x14ac:dyDescent="0.25">
      <c r="B5" s="3" t="s">
        <v>16</v>
      </c>
      <c r="C5" s="22">
        <v>90</v>
      </c>
      <c r="E5" s="30" t="s">
        <v>8</v>
      </c>
      <c r="F5" s="10">
        <v>20</v>
      </c>
      <c r="G5" s="280" t="s">
        <v>307</v>
      </c>
      <c r="H5" s="3">
        <v>120</v>
      </c>
      <c r="I5" s="8">
        <f t="shared" si="0"/>
        <v>35</v>
      </c>
      <c r="J5" s="8">
        <f t="shared" ref="J5:J13" si="8">IF(I4="Cumulative Deals",I5,I5-I4)</f>
        <v>9</v>
      </c>
      <c r="K5" s="5">
        <f t="shared" si="3"/>
        <v>0.25714285714285712</v>
      </c>
      <c r="L5" s="15">
        <v>28000</v>
      </c>
      <c r="M5" s="19">
        <f t="shared" si="1"/>
        <v>560000</v>
      </c>
      <c r="N5" s="19">
        <f t="shared" si="4"/>
        <v>6720000</v>
      </c>
      <c r="P5" s="14" t="s">
        <v>21</v>
      </c>
      <c r="Q5" s="16"/>
      <c r="R5" s="16"/>
      <c r="S5" s="16"/>
      <c r="T5" s="15">
        <f t="shared" ref="T5:AB5" si="9">IF(($J5*(T$1/30)*$F$15)&gt;=$F$13,$F$13*$J5,$J5*(T$1/30)*$F$15)</f>
        <v>7200</v>
      </c>
      <c r="U5" s="15">
        <f t="shared" si="9"/>
        <v>7200</v>
      </c>
      <c r="V5" s="15">
        <f t="shared" si="9"/>
        <v>7200</v>
      </c>
      <c r="W5" s="15">
        <f t="shared" si="9"/>
        <v>7200</v>
      </c>
      <c r="X5" s="15">
        <f t="shared" si="9"/>
        <v>7200</v>
      </c>
      <c r="Y5" s="15">
        <f t="shared" si="9"/>
        <v>7200</v>
      </c>
      <c r="Z5" s="15">
        <f t="shared" si="9"/>
        <v>7200</v>
      </c>
      <c r="AA5" s="15">
        <f t="shared" si="9"/>
        <v>7200</v>
      </c>
      <c r="AB5" s="15">
        <f t="shared" si="9"/>
        <v>7200</v>
      </c>
      <c r="AD5" s="8">
        <f t="shared" si="7"/>
        <v>0</v>
      </c>
      <c r="AE5" s="34">
        <v>5000000</v>
      </c>
      <c r="AF5" s="2" t="s">
        <v>43</v>
      </c>
      <c r="AG5" s="9">
        <v>0.1</v>
      </c>
      <c r="AH5" s="9">
        <v>0.2</v>
      </c>
      <c r="AI5" s="9">
        <v>0.4</v>
      </c>
      <c r="AJ5" s="9">
        <v>0.65</v>
      </c>
      <c r="AK5" s="9">
        <v>1</v>
      </c>
    </row>
    <row r="6" spans="1:38" x14ac:dyDescent="0.25">
      <c r="B6" s="3" t="s">
        <v>32</v>
      </c>
      <c r="C6" s="21">
        <f>VLOOKUP($C$5,$H$2:$N$13,6,FALSE)</f>
        <v>416000</v>
      </c>
      <c r="E6" s="30" t="s">
        <v>2</v>
      </c>
      <c r="F6" s="11">
        <v>0.3</v>
      </c>
      <c r="G6" s="280" t="s">
        <v>307</v>
      </c>
      <c r="H6" s="3">
        <v>150</v>
      </c>
      <c r="I6" s="8">
        <f t="shared" si="0"/>
        <v>43</v>
      </c>
      <c r="J6" s="8">
        <f t="shared" si="8"/>
        <v>8</v>
      </c>
      <c r="K6" s="5">
        <f t="shared" si="3"/>
        <v>0.18604651162790697</v>
      </c>
      <c r="L6" s="15">
        <v>34400</v>
      </c>
      <c r="M6" s="19">
        <f t="shared" si="1"/>
        <v>688000</v>
      </c>
      <c r="N6" s="19">
        <f t="shared" si="4"/>
        <v>8256000</v>
      </c>
      <c r="P6" s="14" t="s">
        <v>22</v>
      </c>
      <c r="Q6" s="16"/>
      <c r="R6" s="16"/>
      <c r="S6" s="16"/>
      <c r="T6" s="16"/>
      <c r="U6" s="15">
        <f t="shared" ref="U6:AB6" si="10">IF(($J6*(U$1/30)*$F$15)&gt;=$F$13,$F$13*$J6,$J6*(U$1/30)*$F$15)</f>
        <v>6400</v>
      </c>
      <c r="V6" s="15">
        <f t="shared" si="10"/>
        <v>6400</v>
      </c>
      <c r="W6" s="15">
        <f t="shared" si="10"/>
        <v>6400</v>
      </c>
      <c r="X6" s="15">
        <f t="shared" si="10"/>
        <v>6400</v>
      </c>
      <c r="Y6" s="15">
        <f t="shared" si="10"/>
        <v>6400</v>
      </c>
      <c r="Z6" s="15">
        <f t="shared" si="10"/>
        <v>6400</v>
      </c>
      <c r="AA6" s="15">
        <f t="shared" si="10"/>
        <v>6400</v>
      </c>
      <c r="AB6" s="15">
        <f t="shared" si="10"/>
        <v>6400</v>
      </c>
      <c r="AD6" s="8">
        <f t="shared" si="7"/>
        <v>0</v>
      </c>
      <c r="AE6" s="34">
        <v>10000000</v>
      </c>
      <c r="AF6" s="2" t="s">
        <v>44</v>
      </c>
      <c r="AG6" s="9">
        <v>0.08</v>
      </c>
      <c r="AH6" s="9">
        <v>0.15</v>
      </c>
      <c r="AI6" s="9">
        <v>0.33</v>
      </c>
      <c r="AJ6" s="9">
        <v>0.56000000000000005</v>
      </c>
      <c r="AK6" s="9">
        <v>0.99</v>
      </c>
    </row>
    <row r="7" spans="1:38" x14ac:dyDescent="0.25">
      <c r="B7" s="3" t="s">
        <v>61</v>
      </c>
      <c r="C7" s="21">
        <f>VLOOKUP($C$5,$H$2:$N$13,7,FALSE)</f>
        <v>4992000</v>
      </c>
      <c r="E7" s="30" t="s">
        <v>7</v>
      </c>
      <c r="F7" s="10">
        <v>3</v>
      </c>
      <c r="G7" s="280" t="s">
        <v>307</v>
      </c>
      <c r="H7" s="3">
        <v>180</v>
      </c>
      <c r="I7" s="2">
        <f t="shared" si="0"/>
        <v>52</v>
      </c>
      <c r="J7" s="8">
        <f t="shared" si="8"/>
        <v>9</v>
      </c>
      <c r="K7" s="5">
        <f>J7/I7</f>
        <v>0.17307692307692307</v>
      </c>
      <c r="L7" s="15">
        <v>41600</v>
      </c>
      <c r="M7" s="19">
        <f t="shared" si="1"/>
        <v>832000</v>
      </c>
      <c r="N7" s="19">
        <f t="shared" si="4"/>
        <v>9984000</v>
      </c>
      <c r="P7" s="14" t="s">
        <v>23</v>
      </c>
      <c r="Q7" s="16"/>
      <c r="R7" s="16"/>
      <c r="S7" s="16"/>
      <c r="T7" s="16"/>
      <c r="U7" s="16"/>
      <c r="V7" s="15">
        <f t="shared" ref="V7:AB7" si="11">IF(($J7*(V$1/30)*$F$15)&gt;=$F$13,$F$13*$J7,$J7*(V$1/30)*$F$15)</f>
        <v>7200</v>
      </c>
      <c r="W7" s="15">
        <f t="shared" si="11"/>
        <v>7200</v>
      </c>
      <c r="X7" s="15">
        <f t="shared" si="11"/>
        <v>7200</v>
      </c>
      <c r="Y7" s="15">
        <f t="shared" si="11"/>
        <v>7200</v>
      </c>
      <c r="Z7" s="15">
        <f t="shared" si="11"/>
        <v>7200</v>
      </c>
      <c r="AA7" s="15">
        <f t="shared" si="11"/>
        <v>7200</v>
      </c>
      <c r="AB7" s="15">
        <f t="shared" si="11"/>
        <v>7200</v>
      </c>
      <c r="AD7" s="8">
        <f t="shared" si="7"/>
        <v>0</v>
      </c>
      <c r="AE7" s="34">
        <v>20000000</v>
      </c>
      <c r="AF7" s="2" t="s">
        <v>45</v>
      </c>
      <c r="AG7" s="9">
        <v>0.06</v>
      </c>
      <c r="AH7" s="9">
        <v>0.18</v>
      </c>
      <c r="AI7" s="9">
        <v>0.35</v>
      </c>
      <c r="AJ7" s="9">
        <v>0.53</v>
      </c>
      <c r="AK7" s="9">
        <v>0.9</v>
      </c>
    </row>
    <row r="8" spans="1:38" x14ac:dyDescent="0.25">
      <c r="E8" s="30" t="s">
        <v>10</v>
      </c>
      <c r="F8" s="10">
        <v>12</v>
      </c>
      <c r="H8" s="3">
        <f>H7+30</f>
        <v>210</v>
      </c>
      <c r="I8" s="8">
        <f t="shared" si="0"/>
        <v>60</v>
      </c>
      <c r="J8" s="8">
        <f t="shared" si="8"/>
        <v>8</v>
      </c>
      <c r="K8" s="5">
        <f t="shared" ref="K8:K13" si="12">J8/I8</f>
        <v>0.13333333333333333</v>
      </c>
      <c r="L8" s="15">
        <v>48000</v>
      </c>
      <c r="M8" s="19">
        <f t="shared" si="1"/>
        <v>960000</v>
      </c>
      <c r="N8" s="19">
        <f t="shared" si="4"/>
        <v>11520000</v>
      </c>
      <c r="P8" s="14" t="s">
        <v>24</v>
      </c>
      <c r="Q8" s="16"/>
      <c r="R8" s="16"/>
      <c r="S8" s="16"/>
      <c r="T8" s="16"/>
      <c r="U8" s="16"/>
      <c r="V8" s="16"/>
      <c r="W8" s="15">
        <f t="shared" ref="W8:AB8" si="13">IF(($J8*(W$1/30)*$F$15)&gt;=$F$13,$F$13*$J8,$J8*(W$1/30)*$F$15)</f>
        <v>6400</v>
      </c>
      <c r="X8" s="15">
        <f t="shared" si="13"/>
        <v>6400</v>
      </c>
      <c r="Y8" s="15">
        <f t="shared" si="13"/>
        <v>6400</v>
      </c>
      <c r="Z8" s="15">
        <f t="shared" si="13"/>
        <v>6400</v>
      </c>
      <c r="AA8" s="15">
        <f t="shared" si="13"/>
        <v>6400</v>
      </c>
      <c r="AB8" s="15">
        <f t="shared" si="13"/>
        <v>6400</v>
      </c>
    </row>
    <row r="9" spans="1:38" x14ac:dyDescent="0.25">
      <c r="H9" s="3">
        <f t="shared" ref="H9:H12" si="14">H8+30</f>
        <v>240</v>
      </c>
      <c r="I9" s="2">
        <f t="shared" si="0"/>
        <v>69</v>
      </c>
      <c r="J9" s="8">
        <f t="shared" si="8"/>
        <v>9</v>
      </c>
      <c r="K9" s="5">
        <f t="shared" si="12"/>
        <v>0.13043478260869565</v>
      </c>
      <c r="L9" s="15">
        <v>55200</v>
      </c>
      <c r="M9" s="19">
        <f t="shared" si="1"/>
        <v>1104000</v>
      </c>
      <c r="N9" s="19">
        <f t="shared" si="4"/>
        <v>13248000</v>
      </c>
      <c r="P9" s="14" t="s">
        <v>25</v>
      </c>
      <c r="Q9" s="16"/>
      <c r="R9" s="16"/>
      <c r="S9" s="16"/>
      <c r="T9" s="16"/>
      <c r="U9" s="16"/>
      <c r="V9" s="16"/>
      <c r="W9" s="16"/>
      <c r="X9" s="15">
        <f>IF(($J9*(X$1/30)*$F$15)&gt;=$F$13,$F$13*$J9,$J9*(X$1/30)*$F$15)</f>
        <v>7200</v>
      </c>
      <c r="Y9" s="15">
        <f>IF(($J9*(Y$1/30)*$F$15)&gt;=$F$13,$F$13*$J9,$J9*(Y$1/30)*$F$15)</f>
        <v>7200</v>
      </c>
      <c r="Z9" s="15">
        <f>IF(($J9*(Z$1/30)*$F$15)&gt;=$F$13,$F$13*$J9,$J9*(Z$1/30)*$F$15)</f>
        <v>7200</v>
      </c>
      <c r="AA9" s="15">
        <f>IF(($J9*(AA$1/30)*$F$15)&gt;=$F$13,$F$13*$J9,$J9*(AA$1/30)*$F$15)</f>
        <v>7200</v>
      </c>
      <c r="AB9" s="15">
        <f>IF(($J9*(AB$1/30)*$F$15)&gt;=$F$13,$F$13*$J9,$J9*(AB$1/30)*$F$15)</f>
        <v>7200</v>
      </c>
    </row>
    <row r="10" spans="1:38" x14ac:dyDescent="0.25">
      <c r="B10" s="530" t="s">
        <v>50</v>
      </c>
      <c r="C10" s="530"/>
      <c r="E10" s="530" t="s">
        <v>46</v>
      </c>
      <c r="F10" s="530"/>
      <c r="H10" s="3">
        <f t="shared" si="14"/>
        <v>270</v>
      </c>
      <c r="I10" s="8">
        <f t="shared" si="0"/>
        <v>78</v>
      </c>
      <c r="J10" s="8">
        <f t="shared" si="8"/>
        <v>9</v>
      </c>
      <c r="K10" s="5">
        <f t="shared" si="12"/>
        <v>0.11538461538461539</v>
      </c>
      <c r="L10" s="15">
        <v>62400</v>
      </c>
      <c r="M10" s="19">
        <f t="shared" si="1"/>
        <v>1248000</v>
      </c>
      <c r="N10" s="19">
        <f t="shared" si="4"/>
        <v>14976000</v>
      </c>
      <c r="P10" s="14" t="s">
        <v>26</v>
      </c>
      <c r="Q10" s="16"/>
      <c r="R10" s="16"/>
      <c r="S10" s="16"/>
      <c r="T10" s="16"/>
      <c r="U10" s="16"/>
      <c r="V10" s="16"/>
      <c r="W10" s="16"/>
      <c r="X10" s="16"/>
      <c r="Y10" s="15">
        <f>IF(($J10*(Y$1/30)*$F$15)&gt;=$F$13,$F$13*$J10,$J10*(Y$1/30)*$F$15)</f>
        <v>7200</v>
      </c>
      <c r="Z10" s="15">
        <f>IF(($J10*(Z$1/30)*$F$15)&gt;=$F$13,$F$13*$J10,$J10*(Z$1/30)*$F$15)</f>
        <v>7200</v>
      </c>
      <c r="AA10" s="15">
        <f>IF(($J10*(AA$1/30)*$F$15)&gt;=$F$13,$F$13*$J10,$J10*(AA$1/30)*$F$15)</f>
        <v>7200</v>
      </c>
      <c r="AB10" s="15">
        <f>IF(($J10*(AB$1/30)*$F$15)&gt;=$F$13,$F$13*$J10,$J10*(AB$1/30)*$F$15)</f>
        <v>7200</v>
      </c>
    </row>
    <row r="11" spans="1:38" x14ac:dyDescent="0.25">
      <c r="B11" s="3" t="s">
        <v>51</v>
      </c>
      <c r="C11" s="22" t="s">
        <v>37</v>
      </c>
      <c r="E11" s="30" t="s">
        <v>4</v>
      </c>
      <c r="F11" s="12">
        <v>1000</v>
      </c>
      <c r="H11" s="3">
        <f t="shared" si="14"/>
        <v>300</v>
      </c>
      <c r="I11" s="2">
        <f t="shared" si="0"/>
        <v>86</v>
      </c>
      <c r="J11" s="8">
        <f t="shared" si="8"/>
        <v>8</v>
      </c>
      <c r="K11" s="5">
        <f t="shared" si="12"/>
        <v>9.3023255813953487E-2</v>
      </c>
      <c r="L11" s="15">
        <v>68800</v>
      </c>
      <c r="M11" s="19">
        <f t="shared" si="1"/>
        <v>1376000</v>
      </c>
      <c r="N11" s="19">
        <f t="shared" si="4"/>
        <v>16512000</v>
      </c>
      <c r="P11" s="14" t="s">
        <v>27</v>
      </c>
      <c r="Q11" s="16"/>
      <c r="R11" s="16"/>
      <c r="S11" s="16"/>
      <c r="T11" s="16"/>
      <c r="U11" s="16"/>
      <c r="V11" s="16"/>
      <c r="W11" s="16"/>
      <c r="X11" s="16"/>
      <c r="Y11" s="16"/>
      <c r="Z11" s="15">
        <f>IF(($J11*(Z$1/30)*$F$15)&gt;=$F$13,$F$13*$J11,$J11*(Z$1/30)*$F$15)</f>
        <v>6400</v>
      </c>
      <c r="AA11" s="15">
        <f>IF(($J11*(AA$1/30)*$F$15)&gt;=$F$13,$F$13*$J11,$J11*(AA$1/30)*$F$15)</f>
        <v>6400</v>
      </c>
      <c r="AB11" s="15">
        <f>IF(($J11*(AB$1/30)*$F$15)&gt;=$F$13,$F$13*$J11,$J11*(AB$1/30)*$F$15)</f>
        <v>6400</v>
      </c>
    </row>
    <row r="12" spans="1:38" x14ac:dyDescent="0.25">
      <c r="B12" s="3" t="s">
        <v>53</v>
      </c>
      <c r="C12" s="31">
        <f>IF(D12&lt;&gt;0,D12,INDEX($1:$1048576,MATCH(1,$AD:$AD,0),MATCH($C$11,$1:$1,0)))</f>
        <v>0.2</v>
      </c>
      <c r="D12" s="258"/>
      <c r="E12" s="30" t="s">
        <v>62</v>
      </c>
      <c r="F12" s="11">
        <v>0.8</v>
      </c>
      <c r="H12" s="3">
        <f t="shared" si="14"/>
        <v>330</v>
      </c>
      <c r="I12" s="8">
        <f t="shared" si="0"/>
        <v>95</v>
      </c>
      <c r="J12" s="8">
        <f t="shared" si="8"/>
        <v>9</v>
      </c>
      <c r="K12" s="5">
        <f t="shared" si="12"/>
        <v>9.4736842105263161E-2</v>
      </c>
      <c r="L12" s="15">
        <v>76000</v>
      </c>
      <c r="M12" s="19">
        <f t="shared" si="1"/>
        <v>1520000</v>
      </c>
      <c r="N12" s="19">
        <f t="shared" si="4"/>
        <v>18240000</v>
      </c>
      <c r="P12" s="14" t="s">
        <v>28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5">
        <f>IF(($J12*(AA$1/30)*$F$15)&gt;=$F$13,$F$13*$J12,$J12*(AA$1/30)*$F$15)</f>
        <v>7200</v>
      </c>
      <c r="AB12" s="15">
        <f>IF(($J12*(AB$1/30)*$F$15)&gt;=$F$13,$F$13*$J12,$J12*(AB$1/30)*$F$15)</f>
        <v>7200</v>
      </c>
    </row>
    <row r="13" spans="1:38" x14ac:dyDescent="0.25">
      <c r="B13" s="3" t="s">
        <v>9</v>
      </c>
      <c r="C13" s="11">
        <v>0.05</v>
      </c>
      <c r="E13" s="30" t="s">
        <v>14</v>
      </c>
      <c r="F13" s="20">
        <f>F12*F11</f>
        <v>800</v>
      </c>
      <c r="H13" s="3">
        <f>H12+30</f>
        <v>360</v>
      </c>
      <c r="I13" s="2">
        <f t="shared" si="0"/>
        <v>103</v>
      </c>
      <c r="J13" s="8">
        <f t="shared" si="8"/>
        <v>8</v>
      </c>
      <c r="K13" s="5">
        <f t="shared" si="12"/>
        <v>7.7669902912621352E-2</v>
      </c>
      <c r="L13" s="15">
        <v>82400</v>
      </c>
      <c r="M13" s="19">
        <f t="shared" si="1"/>
        <v>1648000</v>
      </c>
      <c r="N13" s="19">
        <f t="shared" si="4"/>
        <v>19776000</v>
      </c>
      <c r="P13" s="37" t="s">
        <v>29</v>
      </c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9">
        <f>IF(($J13*(AB$1/30)*$F$15)&gt;=$F$13,$F$13*$J13,$J13*(AB$1/30)*$F$15)</f>
        <v>6400</v>
      </c>
    </row>
    <row r="14" spans="1:38" x14ac:dyDescent="0.25">
      <c r="B14" s="3" t="s">
        <v>54</v>
      </c>
      <c r="C14" s="35">
        <f>($C$7-($C$7*($C$13-C12)))/$C$7</f>
        <v>1.1499999999999999</v>
      </c>
      <c r="E14" s="30" t="s">
        <v>5</v>
      </c>
      <c r="F14" s="13">
        <v>20</v>
      </c>
      <c r="I14" s="8"/>
      <c r="J14" s="8"/>
      <c r="L14" s="15"/>
      <c r="M14" s="19"/>
      <c r="N14" s="19"/>
      <c r="P14" s="17" t="s">
        <v>17</v>
      </c>
      <c r="Q14" s="18">
        <f>SUM(Q2:Q13)</f>
        <v>7200</v>
      </c>
      <c r="R14" s="18">
        <f t="shared" ref="R14:AB14" si="15">SUM(R2:R13)</f>
        <v>14400</v>
      </c>
      <c r="S14" s="18">
        <f t="shared" si="15"/>
        <v>20800</v>
      </c>
      <c r="T14" s="18">
        <f t="shared" si="15"/>
        <v>28000</v>
      </c>
      <c r="U14" s="18">
        <f t="shared" si="15"/>
        <v>34400</v>
      </c>
      <c r="V14" s="18">
        <f t="shared" si="15"/>
        <v>41600</v>
      </c>
      <c r="W14" s="18">
        <f t="shared" si="15"/>
        <v>48000</v>
      </c>
      <c r="X14" s="18">
        <f t="shared" si="15"/>
        <v>55200</v>
      </c>
      <c r="Y14" s="18">
        <f t="shared" si="15"/>
        <v>62400</v>
      </c>
      <c r="Z14" s="18">
        <f t="shared" si="15"/>
        <v>68800</v>
      </c>
      <c r="AA14" s="18">
        <f t="shared" si="15"/>
        <v>76000</v>
      </c>
      <c r="AB14" s="18">
        <f t="shared" si="15"/>
        <v>82400</v>
      </c>
    </row>
    <row r="15" spans="1:38" x14ac:dyDescent="0.25">
      <c r="E15" s="30" t="s">
        <v>6</v>
      </c>
      <c r="F15" s="10">
        <v>100</v>
      </c>
      <c r="S15" s="7"/>
    </row>
    <row r="16" spans="1:38" x14ac:dyDescent="0.25">
      <c r="B16" s="530" t="s">
        <v>60</v>
      </c>
      <c r="C16" s="530"/>
      <c r="S16" s="7"/>
    </row>
    <row r="17" spans="2:19" x14ac:dyDescent="0.25">
      <c r="B17" s="3" t="s">
        <v>55</v>
      </c>
      <c r="C17" s="11">
        <v>0.25</v>
      </c>
      <c r="D17" s="280" t="s">
        <v>307</v>
      </c>
      <c r="S17" s="7"/>
    </row>
    <row r="18" spans="2:19" x14ac:dyDescent="0.25">
      <c r="B18" s="3" t="s">
        <v>57</v>
      </c>
      <c r="C18" s="25">
        <f>C17*$C$7</f>
        <v>1248000</v>
      </c>
      <c r="S18" s="7"/>
    </row>
    <row r="19" spans="2:19" x14ac:dyDescent="0.25">
      <c r="B19" s="3" t="s">
        <v>58</v>
      </c>
      <c r="C19" s="31">
        <f>($C$7-$C$18)/$C$7</f>
        <v>0.75</v>
      </c>
      <c r="S19" s="7"/>
    </row>
    <row r="20" spans="2:19" x14ac:dyDescent="0.25">
      <c r="B20" s="3" t="s">
        <v>59</v>
      </c>
      <c r="C20" s="36" t="str">
        <f>IF($C$19&gt;0.75,1+($C$19-0.75),"None")</f>
        <v>None</v>
      </c>
      <c r="S20" s="7"/>
    </row>
    <row r="21" spans="2:19" x14ac:dyDescent="0.25">
      <c r="S21" s="7"/>
    </row>
    <row r="22" spans="2:19" x14ac:dyDescent="0.25">
      <c r="B22" s="530" t="s">
        <v>31</v>
      </c>
      <c r="C22" s="530"/>
      <c r="S22" s="7"/>
    </row>
    <row r="23" spans="2:19" x14ac:dyDescent="0.25">
      <c r="B23" s="3" t="s">
        <v>56</v>
      </c>
      <c r="C23" s="22">
        <v>10</v>
      </c>
      <c r="D23" s="280" t="s">
        <v>307</v>
      </c>
    </row>
    <row r="24" spans="2:19" x14ac:dyDescent="0.25">
      <c r="B24" s="3" t="s">
        <v>34</v>
      </c>
      <c r="C24" s="21">
        <f>$C$7</f>
        <v>4992000</v>
      </c>
      <c r="S24" s="7"/>
    </row>
    <row r="25" spans="2:19" x14ac:dyDescent="0.25">
      <c r="B25" s="3" t="s">
        <v>53</v>
      </c>
      <c r="C25" s="31">
        <f>$C$12</f>
        <v>0.2</v>
      </c>
      <c r="S25" s="7"/>
    </row>
    <row r="26" spans="2:19" x14ac:dyDescent="0.25">
      <c r="B26" s="3" t="s">
        <v>54</v>
      </c>
      <c r="C26" s="31">
        <f>$C$14</f>
        <v>1.1499999999999999</v>
      </c>
      <c r="S26" s="7"/>
    </row>
    <row r="27" spans="2:19" ht="15.75" thickBot="1" x14ac:dyDescent="0.3">
      <c r="S27" s="7"/>
    </row>
    <row r="28" spans="2:19" ht="16.5" thickBot="1" x14ac:dyDescent="0.3">
      <c r="B28" s="52" t="s">
        <v>303</v>
      </c>
      <c r="C28" s="53">
        <f>$C$23*$C$24*$C$25*$C$26*IF($C$20="None",1,$C$20)</f>
        <v>11481600</v>
      </c>
      <c r="S28" s="7"/>
    </row>
    <row r="29" spans="2:19" x14ac:dyDescent="0.25">
      <c r="S29" s="7"/>
    </row>
    <row r="30" spans="2:19" x14ac:dyDescent="0.25">
      <c r="C30" s="3">
        <f>C28/C24</f>
        <v>2.2999999999999998</v>
      </c>
      <c r="S30" s="7"/>
    </row>
    <row r="31" spans="2:19" x14ac:dyDescent="0.25">
      <c r="S31" s="7"/>
    </row>
    <row r="32" spans="2:19" x14ac:dyDescent="0.25">
      <c r="S32" s="7"/>
    </row>
    <row r="33" spans="19:19" x14ac:dyDescent="0.25">
      <c r="S33" s="7"/>
    </row>
    <row r="34" spans="19:19" x14ac:dyDescent="0.25">
      <c r="S34" s="7"/>
    </row>
    <row r="35" spans="19:19" x14ac:dyDescent="0.25">
      <c r="S35" s="7"/>
    </row>
    <row r="36" spans="19:19" x14ac:dyDescent="0.25">
      <c r="S36" s="7"/>
    </row>
    <row r="37" spans="19:19" x14ac:dyDescent="0.25">
      <c r="S37" s="7"/>
    </row>
    <row r="38" spans="19:19" x14ac:dyDescent="0.25">
      <c r="S38" s="7"/>
    </row>
    <row r="39" spans="19:19" x14ac:dyDescent="0.25">
      <c r="S39" s="7"/>
    </row>
    <row r="40" spans="19:19" x14ac:dyDescent="0.25">
      <c r="S40" s="7"/>
    </row>
    <row r="41" spans="19:19" x14ac:dyDescent="0.25">
      <c r="S41" s="7"/>
    </row>
    <row r="42" spans="19:19" x14ac:dyDescent="0.25">
      <c r="S42" s="7"/>
    </row>
    <row r="43" spans="19:19" x14ac:dyDescent="0.25">
      <c r="S43" s="7"/>
    </row>
    <row r="44" spans="19:19" x14ac:dyDescent="0.25">
      <c r="S44" s="7"/>
    </row>
    <row r="45" spans="19:19" x14ac:dyDescent="0.25">
      <c r="S45" s="7"/>
    </row>
    <row r="46" spans="19:19" x14ac:dyDescent="0.25">
      <c r="S46" s="7"/>
    </row>
    <row r="47" spans="19:19" x14ac:dyDescent="0.25">
      <c r="S47" s="7"/>
    </row>
    <row r="48" spans="19:19" x14ac:dyDescent="0.25">
      <c r="S48" s="7"/>
    </row>
    <row r="49" spans="19:19" x14ac:dyDescent="0.25">
      <c r="S49" s="7"/>
    </row>
    <row r="50" spans="19:19" x14ac:dyDescent="0.25">
      <c r="S50" s="7"/>
    </row>
    <row r="51" spans="19:19" x14ac:dyDescent="0.25">
      <c r="S51" s="7"/>
    </row>
    <row r="52" spans="19:19" x14ac:dyDescent="0.25">
      <c r="S52" s="7"/>
    </row>
    <row r="53" spans="19:19" x14ac:dyDescent="0.25">
      <c r="S53" s="7"/>
    </row>
    <row r="54" spans="19:19" x14ac:dyDescent="0.25">
      <c r="S54" s="7"/>
    </row>
    <row r="55" spans="19:19" x14ac:dyDescent="0.25">
      <c r="S55" s="7"/>
    </row>
    <row r="56" spans="19:19" x14ac:dyDescent="0.25">
      <c r="S56" s="7"/>
    </row>
    <row r="57" spans="19:19" x14ac:dyDescent="0.25">
      <c r="S57" s="7"/>
    </row>
    <row r="58" spans="19:19" x14ac:dyDescent="0.25">
      <c r="S58" s="7"/>
    </row>
    <row r="59" spans="19:19" x14ac:dyDescent="0.25">
      <c r="S59" s="7"/>
    </row>
    <row r="60" spans="19:19" x14ac:dyDescent="0.25">
      <c r="S60" s="7"/>
    </row>
    <row r="61" spans="19:19" x14ac:dyDescent="0.25">
      <c r="S61" s="7"/>
    </row>
    <row r="62" spans="19:19" x14ac:dyDescent="0.25">
      <c r="S62" s="7"/>
    </row>
    <row r="63" spans="19:19" x14ac:dyDescent="0.25">
      <c r="S63" s="7"/>
    </row>
    <row r="64" spans="19:19" x14ac:dyDescent="0.25">
      <c r="S64" s="7"/>
    </row>
    <row r="65" spans="19:19" x14ac:dyDescent="0.25">
      <c r="S65" s="7"/>
    </row>
    <row r="66" spans="19:19" x14ac:dyDescent="0.25">
      <c r="S66" s="7"/>
    </row>
    <row r="67" spans="19:19" x14ac:dyDescent="0.25">
      <c r="S67" s="7"/>
    </row>
    <row r="68" spans="19:19" x14ac:dyDescent="0.25">
      <c r="S68" s="7"/>
    </row>
    <row r="69" spans="19:19" x14ac:dyDescent="0.25">
      <c r="S69" s="7"/>
    </row>
    <row r="70" spans="19:19" x14ac:dyDescent="0.25">
      <c r="S70" s="7"/>
    </row>
    <row r="71" spans="19:19" x14ac:dyDescent="0.25">
      <c r="S71" s="7"/>
    </row>
    <row r="72" spans="19:19" x14ac:dyDescent="0.25">
      <c r="S72" s="7"/>
    </row>
    <row r="73" spans="19:19" x14ac:dyDescent="0.25">
      <c r="S73" s="7"/>
    </row>
    <row r="74" spans="19:19" x14ac:dyDescent="0.25">
      <c r="S74" s="7"/>
    </row>
    <row r="75" spans="19:19" x14ac:dyDescent="0.25">
      <c r="S75" s="7"/>
    </row>
    <row r="76" spans="19:19" x14ac:dyDescent="0.25">
      <c r="S76" s="7"/>
    </row>
    <row r="77" spans="19:19" x14ac:dyDescent="0.25">
      <c r="S77" s="7"/>
    </row>
    <row r="78" spans="19:19" x14ac:dyDescent="0.25">
      <c r="S78" s="7"/>
    </row>
    <row r="79" spans="19:19" x14ac:dyDescent="0.25">
      <c r="S79" s="7"/>
    </row>
    <row r="80" spans="19:19" x14ac:dyDescent="0.25">
      <c r="S80" s="7"/>
    </row>
    <row r="81" spans="19:19" x14ac:dyDescent="0.25">
      <c r="S81" s="7"/>
    </row>
    <row r="82" spans="19:19" x14ac:dyDescent="0.25">
      <c r="S82" s="7"/>
    </row>
    <row r="83" spans="19:19" x14ac:dyDescent="0.25">
      <c r="S83" s="7"/>
    </row>
    <row r="84" spans="19:19" x14ac:dyDescent="0.25">
      <c r="S84" s="7"/>
    </row>
    <row r="85" spans="19:19" x14ac:dyDescent="0.25">
      <c r="S85" s="7"/>
    </row>
    <row r="86" spans="19:19" x14ac:dyDescent="0.25">
      <c r="S86" s="7"/>
    </row>
    <row r="87" spans="19:19" x14ac:dyDescent="0.25">
      <c r="S87" s="7"/>
    </row>
    <row r="88" spans="19:19" x14ac:dyDescent="0.25">
      <c r="S88" s="7"/>
    </row>
    <row r="89" spans="19:19" x14ac:dyDescent="0.25">
      <c r="S89" s="7"/>
    </row>
    <row r="90" spans="19:19" x14ac:dyDescent="0.25">
      <c r="S90" s="7"/>
    </row>
    <row r="91" spans="19:19" x14ac:dyDescent="0.25">
      <c r="S91" s="7"/>
    </row>
    <row r="92" spans="19:19" x14ac:dyDescent="0.25">
      <c r="S92" s="7"/>
    </row>
    <row r="93" spans="19:19" x14ac:dyDescent="0.25">
      <c r="S93" s="7"/>
    </row>
    <row r="94" spans="19:19" x14ac:dyDescent="0.25">
      <c r="S94" s="7"/>
    </row>
    <row r="95" spans="19:19" x14ac:dyDescent="0.25">
      <c r="S95" s="7"/>
    </row>
    <row r="96" spans="19:19" x14ac:dyDescent="0.25">
      <c r="S96" s="7"/>
    </row>
    <row r="97" spans="19:19" x14ac:dyDescent="0.25">
      <c r="S97" s="7"/>
    </row>
    <row r="98" spans="19:19" x14ac:dyDescent="0.25">
      <c r="S98" s="7"/>
    </row>
    <row r="99" spans="19:19" x14ac:dyDescent="0.25">
      <c r="S99" s="7"/>
    </row>
    <row r="100" spans="19:19" x14ac:dyDescent="0.25">
      <c r="S100" s="7"/>
    </row>
    <row r="101" spans="19:19" x14ac:dyDescent="0.25">
      <c r="S101" s="7"/>
    </row>
    <row r="102" spans="19:19" x14ac:dyDescent="0.25">
      <c r="S102" s="7"/>
    </row>
    <row r="103" spans="19:19" x14ac:dyDescent="0.25">
      <c r="S103" s="7"/>
    </row>
    <row r="104" spans="19:19" x14ac:dyDescent="0.25">
      <c r="S104" s="7"/>
    </row>
    <row r="105" spans="19:19" x14ac:dyDescent="0.25">
      <c r="S105" s="7"/>
    </row>
    <row r="106" spans="19:19" x14ac:dyDescent="0.25">
      <c r="S106" s="7"/>
    </row>
    <row r="107" spans="19:19" x14ac:dyDescent="0.25">
      <c r="S107" s="7"/>
    </row>
    <row r="108" spans="19:19" x14ac:dyDescent="0.25">
      <c r="S108" s="7"/>
    </row>
    <row r="109" spans="19:19" x14ac:dyDescent="0.25">
      <c r="S109" s="7"/>
    </row>
    <row r="110" spans="19:19" x14ac:dyDescent="0.25">
      <c r="S110" s="7"/>
    </row>
    <row r="111" spans="19:19" x14ac:dyDescent="0.25">
      <c r="S111" s="7"/>
    </row>
    <row r="112" spans="19:19" x14ac:dyDescent="0.25">
      <c r="S112" s="7"/>
    </row>
    <row r="113" spans="19:19" x14ac:dyDescent="0.25">
      <c r="S113" s="7"/>
    </row>
    <row r="114" spans="19:19" x14ac:dyDescent="0.25">
      <c r="S114" s="7"/>
    </row>
    <row r="115" spans="19:19" x14ac:dyDescent="0.25">
      <c r="S115" s="7"/>
    </row>
    <row r="116" spans="19:19" x14ac:dyDescent="0.25">
      <c r="S116" s="7"/>
    </row>
    <row r="117" spans="19:19" x14ac:dyDescent="0.25">
      <c r="S117" s="7"/>
    </row>
    <row r="118" spans="19:19" x14ac:dyDescent="0.25">
      <c r="S118" s="7"/>
    </row>
    <row r="119" spans="19:19" x14ac:dyDescent="0.25">
      <c r="S119" s="7"/>
    </row>
    <row r="120" spans="19:19" x14ac:dyDescent="0.25">
      <c r="S120" s="7"/>
    </row>
    <row r="121" spans="19:19" x14ac:dyDescent="0.25">
      <c r="S121" s="7"/>
    </row>
    <row r="122" spans="19:19" x14ac:dyDescent="0.25">
      <c r="S122" s="7"/>
    </row>
    <row r="123" spans="19:19" x14ac:dyDescent="0.25">
      <c r="S123" s="7"/>
    </row>
    <row r="124" spans="19:19" x14ac:dyDescent="0.25">
      <c r="S124" s="7"/>
    </row>
    <row r="125" spans="19:19" x14ac:dyDescent="0.25">
      <c r="S125" s="7"/>
    </row>
    <row r="126" spans="19:19" x14ac:dyDescent="0.25">
      <c r="S126" s="7"/>
    </row>
    <row r="127" spans="19:19" x14ac:dyDescent="0.25">
      <c r="S127" s="7"/>
    </row>
    <row r="128" spans="19:19" x14ac:dyDescent="0.25">
      <c r="S128" s="7"/>
    </row>
    <row r="129" spans="19:19" x14ac:dyDescent="0.25">
      <c r="S129" s="7"/>
    </row>
    <row r="130" spans="19:19" x14ac:dyDescent="0.25">
      <c r="S130" s="7"/>
    </row>
    <row r="131" spans="19:19" x14ac:dyDescent="0.25">
      <c r="S131" s="7"/>
    </row>
    <row r="132" spans="19:19" x14ac:dyDescent="0.25">
      <c r="S132" s="7"/>
    </row>
    <row r="133" spans="19:19" x14ac:dyDescent="0.25">
      <c r="S133" s="7"/>
    </row>
    <row r="134" spans="19:19" x14ac:dyDescent="0.25">
      <c r="S134" s="7"/>
    </row>
    <row r="135" spans="19:19" x14ac:dyDescent="0.25">
      <c r="S135" s="7"/>
    </row>
    <row r="136" spans="19:19" x14ac:dyDescent="0.25">
      <c r="S136" s="7"/>
    </row>
    <row r="137" spans="19:19" x14ac:dyDescent="0.25">
      <c r="S137" s="7"/>
    </row>
    <row r="138" spans="19:19" x14ac:dyDescent="0.25">
      <c r="S138" s="7"/>
    </row>
    <row r="139" spans="19:19" x14ac:dyDescent="0.25">
      <c r="S139" s="7"/>
    </row>
    <row r="140" spans="19:19" x14ac:dyDescent="0.25">
      <c r="S140" s="7"/>
    </row>
    <row r="141" spans="19:19" x14ac:dyDescent="0.25">
      <c r="S141" s="7"/>
    </row>
    <row r="142" spans="19:19" x14ac:dyDescent="0.25">
      <c r="S142" s="7"/>
    </row>
    <row r="143" spans="19:19" x14ac:dyDescent="0.25">
      <c r="S143" s="7"/>
    </row>
    <row r="144" spans="19:19" x14ac:dyDescent="0.25">
      <c r="S144" s="7"/>
    </row>
    <row r="145" spans="19:19" x14ac:dyDescent="0.25">
      <c r="S145" s="7"/>
    </row>
    <row r="146" spans="19:19" x14ac:dyDescent="0.25">
      <c r="S146" s="7"/>
    </row>
    <row r="147" spans="19:19" x14ac:dyDescent="0.25">
      <c r="S147" s="7"/>
    </row>
    <row r="148" spans="19:19" x14ac:dyDescent="0.25">
      <c r="S148" s="7"/>
    </row>
    <row r="149" spans="19:19" x14ac:dyDescent="0.25">
      <c r="S149" s="7"/>
    </row>
    <row r="150" spans="19:19" x14ac:dyDescent="0.25">
      <c r="S150" s="7"/>
    </row>
    <row r="151" spans="19:19" x14ac:dyDescent="0.25">
      <c r="S151" s="7"/>
    </row>
    <row r="152" spans="19:19" x14ac:dyDescent="0.25">
      <c r="S152" s="7"/>
    </row>
    <row r="153" spans="19:19" x14ac:dyDescent="0.25">
      <c r="S153" s="7"/>
    </row>
    <row r="154" spans="19:19" x14ac:dyDescent="0.25">
      <c r="S154" s="7"/>
    </row>
    <row r="155" spans="19:19" x14ac:dyDescent="0.25">
      <c r="S155" s="7"/>
    </row>
    <row r="156" spans="19:19" x14ac:dyDescent="0.25">
      <c r="S156" s="7"/>
    </row>
    <row r="157" spans="19:19" x14ac:dyDescent="0.25">
      <c r="S157" s="7"/>
    </row>
    <row r="158" spans="19:19" x14ac:dyDescent="0.25">
      <c r="S158" s="7"/>
    </row>
    <row r="159" spans="19:19" x14ac:dyDescent="0.25">
      <c r="S159" s="7"/>
    </row>
    <row r="160" spans="19:19" x14ac:dyDescent="0.25">
      <c r="S160" s="7"/>
    </row>
    <row r="161" spans="19:19" x14ac:dyDescent="0.25">
      <c r="S161" s="7"/>
    </row>
    <row r="162" spans="19:19" x14ac:dyDescent="0.25">
      <c r="S162" s="7"/>
    </row>
    <row r="163" spans="19:19" x14ac:dyDescent="0.25">
      <c r="S163" s="7"/>
    </row>
    <row r="164" spans="19:19" x14ac:dyDescent="0.25">
      <c r="S164" s="7"/>
    </row>
    <row r="165" spans="19:19" x14ac:dyDescent="0.25">
      <c r="S165" s="7"/>
    </row>
    <row r="166" spans="19:19" x14ac:dyDescent="0.25">
      <c r="S166" s="7"/>
    </row>
    <row r="167" spans="19:19" x14ac:dyDescent="0.25">
      <c r="S167" s="7"/>
    </row>
    <row r="168" spans="19:19" x14ac:dyDescent="0.25">
      <c r="S168" s="7"/>
    </row>
    <row r="169" spans="19:19" x14ac:dyDescent="0.25">
      <c r="S169" s="7"/>
    </row>
    <row r="170" spans="19:19" x14ac:dyDescent="0.25">
      <c r="S170" s="7"/>
    </row>
    <row r="171" spans="19:19" x14ac:dyDescent="0.25">
      <c r="S171" s="7"/>
    </row>
    <row r="172" spans="19:19" x14ac:dyDescent="0.25">
      <c r="S172" s="7"/>
    </row>
    <row r="173" spans="19:19" x14ac:dyDescent="0.25">
      <c r="S173" s="7"/>
    </row>
    <row r="174" spans="19:19" x14ac:dyDescent="0.25">
      <c r="S174" s="7"/>
    </row>
    <row r="175" spans="19:19" x14ac:dyDescent="0.25">
      <c r="S175" s="7"/>
    </row>
    <row r="176" spans="19:19" x14ac:dyDescent="0.25">
      <c r="S176" s="7"/>
    </row>
    <row r="177" spans="19:19" x14ac:dyDescent="0.25">
      <c r="S177" s="7"/>
    </row>
    <row r="178" spans="19:19" x14ac:dyDescent="0.25">
      <c r="S178" s="7"/>
    </row>
    <row r="179" spans="19:19" x14ac:dyDescent="0.25">
      <c r="S179" s="7"/>
    </row>
    <row r="180" spans="19:19" x14ac:dyDescent="0.25">
      <c r="S180" s="7"/>
    </row>
    <row r="181" spans="19:19" x14ac:dyDescent="0.25">
      <c r="S181" s="7"/>
    </row>
  </sheetData>
  <mergeCells count="10">
    <mergeCell ref="B4:C4"/>
    <mergeCell ref="B10:C10"/>
    <mergeCell ref="B16:C16"/>
    <mergeCell ref="B22:C22"/>
    <mergeCell ref="E1:F1"/>
    <mergeCell ref="E2:F2"/>
    <mergeCell ref="B1:C1"/>
    <mergeCell ref="E4:F4"/>
    <mergeCell ref="E10:F10"/>
    <mergeCell ref="B2:C2"/>
  </mergeCells>
  <phoneticPr fontId="3" type="noConversion"/>
  <dataValidations count="2">
    <dataValidation type="list" allowBlank="1" showInputMessage="1" showErrorMessage="1" sqref="C5">
      <formula1>$H$2:$H$13</formula1>
    </dataValidation>
    <dataValidation type="list" allowBlank="1" showInputMessage="1" showErrorMessage="1" sqref="C11">
      <formula1>$AG$1:$AK$1</formula1>
    </dataValidation>
  </dataValidations>
  <hyperlinks>
    <hyperlink ref="AF1" r:id="rId1"/>
  </hyperlinks>
  <pageMargins left="0.7" right="0.7" top="0.75" bottom="0.75" header="0.3" footer="0.3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8" tint="0.39997558519241921"/>
  </sheetPr>
  <dimension ref="A1:L36"/>
  <sheetViews>
    <sheetView topLeftCell="A7" workbookViewId="0">
      <selection activeCell="C10" sqref="C10"/>
    </sheetView>
  </sheetViews>
  <sheetFormatPr defaultRowHeight="15" x14ac:dyDescent="0.25"/>
  <cols>
    <col min="1" max="1" width="2.28515625" style="24" customWidth="1"/>
    <col min="2" max="2" width="33" bestFit="1" customWidth="1"/>
    <col min="3" max="3" width="17.140625" style="41" customWidth="1"/>
    <col min="4" max="4" width="2.28515625" style="24" customWidth="1"/>
    <col min="5" max="5" width="10.28515625" bestFit="1" customWidth="1"/>
    <col min="6" max="6" width="13.42578125" bestFit="1" customWidth="1"/>
    <col min="7" max="9" width="13.42578125" customWidth="1"/>
    <col min="10" max="10" width="2.28515625" style="24" customWidth="1"/>
  </cols>
  <sheetData>
    <row r="1" spans="1:12" ht="15.75" thickBot="1" x14ac:dyDescent="0.3">
      <c r="A1" s="23"/>
      <c r="B1" s="519" t="s">
        <v>47</v>
      </c>
      <c r="C1" s="519"/>
      <c r="D1" s="23"/>
      <c r="E1" s="515" t="s">
        <v>111</v>
      </c>
      <c r="F1" s="516"/>
      <c r="G1" s="516"/>
      <c r="H1" s="516"/>
      <c r="I1" s="517"/>
      <c r="J1" s="23"/>
    </row>
    <row r="2" spans="1:12" ht="16.5" thickTop="1" thickBot="1" x14ac:dyDescent="0.3">
      <c r="B2" s="521" t="s">
        <v>30</v>
      </c>
      <c r="C2" s="523"/>
    </row>
    <row r="4" spans="1:12" x14ac:dyDescent="0.25">
      <c r="B4" s="528" t="s">
        <v>279</v>
      </c>
      <c r="C4" s="529"/>
      <c r="E4" s="40" t="s">
        <v>282</v>
      </c>
      <c r="F4" s="40" t="s">
        <v>283</v>
      </c>
      <c r="G4" s="40" t="s">
        <v>141</v>
      </c>
      <c r="H4" s="40" t="s">
        <v>284</v>
      </c>
      <c r="I4" s="252" t="s">
        <v>306</v>
      </c>
    </row>
    <row r="5" spans="1:12" x14ac:dyDescent="0.25">
      <c r="B5" s="3" t="s">
        <v>280</v>
      </c>
      <c r="C5" s="22" t="s">
        <v>124</v>
      </c>
      <c r="D5" s="280" t="s">
        <v>307</v>
      </c>
      <c r="E5" s="2" t="s">
        <v>122</v>
      </c>
      <c r="F5" s="45" cm="1">
        <f t="array" aca="1" ref="F5:F9" ca="1">TRANSPOSE(Proforma!$H$12:$L$12)</f>
        <v>6713699.9999999991</v>
      </c>
      <c r="G5" s="45" cm="1">
        <f t="array" aca="1" ref="G5:G9" ca="1">TRANSPOSE(Proforma!$H$19:$L$19)</f>
        <v>5923699.9999999991</v>
      </c>
      <c r="H5" s="45" cm="1">
        <f t="array" aca="1" ref="H5:H9" ca="1">TRANSPOSE(Proforma!$H$27:$L$27)</f>
        <v>2931644.9999999991</v>
      </c>
      <c r="I5" s="121">
        <v>0.75</v>
      </c>
      <c r="L5" s="3"/>
    </row>
    <row r="6" spans="1:12" x14ac:dyDescent="0.25">
      <c r="B6" s="3" t="s">
        <v>283</v>
      </c>
      <c r="C6" s="21">
        <f ca="1">VLOOKUP($C$5,$E$5:$H$9,2,FALSE)</f>
        <v>90192199.999999985</v>
      </c>
      <c r="E6" s="2" t="s">
        <v>123</v>
      </c>
      <c r="F6" s="45">
        <f ca="1"/>
        <v>34550599.999999993</v>
      </c>
      <c r="G6" s="45">
        <f ca="1"/>
        <v>30600599.999999993</v>
      </c>
      <c r="H6" s="45">
        <f ca="1"/>
        <v>20449884.999999993</v>
      </c>
      <c r="I6" s="121">
        <v>1</v>
      </c>
      <c r="L6" s="3"/>
    </row>
    <row r="7" spans="1:12" x14ac:dyDescent="0.25">
      <c r="B7" s="3" t="s">
        <v>141</v>
      </c>
      <c r="C7" s="21">
        <f ca="1">VLOOKUP($C$5,$E$5:$H$9,3,FALSE)</f>
        <v>82292199.999999985</v>
      </c>
      <c r="E7" s="2" t="s">
        <v>124</v>
      </c>
      <c r="F7" s="45">
        <f ca="1"/>
        <v>90192199.999999985</v>
      </c>
      <c r="G7" s="45">
        <f ca="1"/>
        <v>82292199.999999985</v>
      </c>
      <c r="H7" s="45">
        <f ca="1"/>
        <v>59374569.999999985</v>
      </c>
      <c r="I7" s="121">
        <v>1.25</v>
      </c>
      <c r="L7" s="3"/>
    </row>
    <row r="8" spans="1:12" x14ac:dyDescent="0.25">
      <c r="B8" s="3" t="s">
        <v>284</v>
      </c>
      <c r="C8" s="21">
        <f ca="1">VLOOKUP($C$5,$E$5:$H$9,4,FALSE)</f>
        <v>59374569.999999985</v>
      </c>
      <c r="E8" s="2" t="s">
        <v>125</v>
      </c>
      <c r="F8" s="45">
        <f ca="1"/>
        <v>173654599.99999997</v>
      </c>
      <c r="G8" s="45">
        <f ca="1"/>
        <v>161014599.99999997</v>
      </c>
      <c r="H8" s="45">
        <f ca="1"/>
        <v>117517726.66666663</v>
      </c>
      <c r="I8" s="121">
        <v>1.5</v>
      </c>
      <c r="L8" s="3"/>
    </row>
    <row r="9" spans="1:12" x14ac:dyDescent="0.25">
      <c r="B9" s="3" t="s">
        <v>56</v>
      </c>
      <c r="C9" s="22">
        <v>10</v>
      </c>
      <c r="D9" s="280" t="s">
        <v>307</v>
      </c>
      <c r="E9" s="2" t="s">
        <v>126</v>
      </c>
      <c r="F9" s="45">
        <f ca="1"/>
        <v>284937799.99999994</v>
      </c>
      <c r="G9" s="45">
        <f ca="1"/>
        <v>266767799.99999994</v>
      </c>
      <c r="H9" s="45">
        <f ca="1"/>
        <v>196204629.99999994</v>
      </c>
      <c r="I9" s="121">
        <v>1.75</v>
      </c>
      <c r="L9" s="3"/>
    </row>
    <row r="10" spans="1:12" x14ac:dyDescent="0.25">
      <c r="B10" s="3" t="s">
        <v>285</v>
      </c>
      <c r="C10" s="173" t="str">
        <f>RIGHT(C5,1)</f>
        <v>3</v>
      </c>
    </row>
    <row r="11" spans="1:12" ht="15.75" thickBot="1" x14ac:dyDescent="0.3"/>
    <row r="12" spans="1:12" ht="16.5" thickBot="1" x14ac:dyDescent="0.3">
      <c r="B12" s="59" t="s">
        <v>281</v>
      </c>
      <c r="C12" s="60">
        <f ca="1">($C$8/$C$10)*$C$9</f>
        <v>197915233.33333328</v>
      </c>
    </row>
    <row r="14" spans="1:12" x14ac:dyDescent="0.25">
      <c r="B14" s="528" t="s">
        <v>286</v>
      </c>
      <c r="C14" s="529"/>
    </row>
    <row r="15" spans="1:12" x14ac:dyDescent="0.25">
      <c r="B15" s="3" t="s">
        <v>291</v>
      </c>
      <c r="C15" s="254">
        <v>120000</v>
      </c>
    </row>
    <row r="16" spans="1:12" x14ac:dyDescent="0.25">
      <c r="B16" s="3" t="s">
        <v>292</v>
      </c>
      <c r="C16" s="254">
        <v>500000</v>
      </c>
    </row>
    <row r="17" spans="2:3" x14ac:dyDescent="0.25">
      <c r="B17" s="3" t="s">
        <v>288</v>
      </c>
      <c r="C17" s="254">
        <v>5000000</v>
      </c>
    </row>
    <row r="18" spans="2:3" x14ac:dyDescent="0.25">
      <c r="B18" s="3"/>
    </row>
    <row r="19" spans="2:3" x14ac:dyDescent="0.25">
      <c r="B19" s="3" t="s">
        <v>294</v>
      </c>
      <c r="C19" s="31">
        <f>VLOOKUP($C$5,$E$5:$J$9,5)</f>
        <v>1.25</v>
      </c>
    </row>
    <row r="20" spans="2:3" x14ac:dyDescent="0.25">
      <c r="B20" s="3"/>
    </row>
    <row r="21" spans="2:3" x14ac:dyDescent="0.25">
      <c r="B21" s="3" t="s">
        <v>287</v>
      </c>
      <c r="C21" s="22" t="s">
        <v>291</v>
      </c>
    </row>
    <row r="22" spans="2:3" ht="15.75" thickBot="1" x14ac:dyDescent="0.3">
      <c r="B22" s="3"/>
    </row>
    <row r="23" spans="2:3" ht="16.5" thickBot="1" x14ac:dyDescent="0.3">
      <c r="B23" s="59" t="s">
        <v>293</v>
      </c>
      <c r="C23" s="60">
        <f>((IF($C$21=$B$15,$C$15,IF($C$21=$B$16,SUM($C$15:$C$16),IF($C$21=$B$17,SUM($C$15:$C$17),0))))*(1+$C$19)^3)</f>
        <v>1366875</v>
      </c>
    </row>
    <row r="24" spans="2:3" x14ac:dyDescent="0.25">
      <c r="B24" s="3" t="s">
        <v>295</v>
      </c>
      <c r="C24" s="256">
        <f>C23/(IF($C$21=$B$15,$C$15,IF($C$21=$B$16,SUM($C$15:$C$16),IF($C$21=$B$17,SUM($C$15:$C$17),0))))</f>
        <v>11.390625</v>
      </c>
    </row>
    <row r="25" spans="2:3" x14ac:dyDescent="0.25">
      <c r="B25" s="3" t="s">
        <v>296</v>
      </c>
      <c r="C25" s="257">
        <f ca="1">C23/$C$12</f>
        <v>6.90636580610184E-3</v>
      </c>
    </row>
    <row r="27" spans="2:3" x14ac:dyDescent="0.25">
      <c r="B27" s="3" t="s">
        <v>289</v>
      </c>
      <c r="C27" s="255">
        <v>0.25</v>
      </c>
    </row>
    <row r="28" spans="2:3" x14ac:dyDescent="0.25">
      <c r="B28" s="3" t="s">
        <v>297</v>
      </c>
      <c r="C28" s="257">
        <f ca="1">$C$25/(1-$C$32)</f>
        <v>9.2084877414691201E-3</v>
      </c>
    </row>
    <row r="29" spans="2:3" x14ac:dyDescent="0.25">
      <c r="B29" s="3" t="s">
        <v>298</v>
      </c>
      <c r="C29" s="25">
        <f ca="1">(IF($C$21=$B$15,$C$15,IF($C$21=$B$16,SUM($C$15:$C$16),IF($C$21=$B$17,SUM($C$15:$C$17),0))))/$C$28</f>
        <v>13031455.692729762</v>
      </c>
    </row>
    <row r="32" spans="2:3" x14ac:dyDescent="0.25">
      <c r="B32" s="3" t="s">
        <v>290</v>
      </c>
      <c r="C32" s="255">
        <v>0.25</v>
      </c>
    </row>
    <row r="33" spans="2:3" x14ac:dyDescent="0.25">
      <c r="B33" s="3" t="s">
        <v>297</v>
      </c>
      <c r="C33" s="257">
        <f ca="1">$C$28/(1-$C$32)</f>
        <v>1.227798365529216E-2</v>
      </c>
    </row>
    <row r="34" spans="2:3" x14ac:dyDescent="0.25">
      <c r="B34" s="3" t="s">
        <v>298</v>
      </c>
      <c r="C34" s="25">
        <f ca="1">(IF($C$21=$B$15,$C$15,IF($C$21=$B$16,SUM($C$15:$C$16),IF($C$21=$B$17,SUM($C$15:$C$17),0))))/$C$33</f>
        <v>9773591.7695473228</v>
      </c>
    </row>
    <row r="35" spans="2:3" ht="15.75" thickBot="1" x14ac:dyDescent="0.3"/>
    <row r="36" spans="2:3" ht="16.5" thickBot="1" x14ac:dyDescent="0.3">
      <c r="B36" s="52" t="s">
        <v>299</v>
      </c>
      <c r="C36" s="53">
        <f ca="1">C34</f>
        <v>9773591.7695473228</v>
      </c>
    </row>
  </sheetData>
  <mergeCells count="5">
    <mergeCell ref="B14:C14"/>
    <mergeCell ref="B1:C1"/>
    <mergeCell ref="B2:C2"/>
    <mergeCell ref="B4:C4"/>
    <mergeCell ref="E1:I1"/>
  </mergeCells>
  <dataValidations count="2">
    <dataValidation type="list" allowBlank="1" showInputMessage="1" showErrorMessage="1" sqref="C5">
      <formula1>$E$5:$E$9</formula1>
    </dataValidation>
    <dataValidation type="list" allowBlank="1" showInputMessage="1" showErrorMessage="1" sqref="C21">
      <formula1>$B$15:$B$17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Y36"/>
  <sheetViews>
    <sheetView zoomScale="70" zoomScaleNormal="70" workbookViewId="0">
      <selection activeCell="F19" sqref="E19:F19"/>
    </sheetView>
  </sheetViews>
  <sheetFormatPr defaultColWidth="9.140625" defaultRowHeight="15" x14ac:dyDescent="0.25"/>
  <cols>
    <col min="1" max="16384" width="9.140625" style="281"/>
  </cols>
  <sheetData>
    <row r="36" spans="25:25" x14ac:dyDescent="0.25">
      <c r="Y36" s="281" t="s">
        <v>308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79998168889431442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8" tint="0.79998168889431442"/>
  </sheetPr>
  <dimension ref="A1:AI54"/>
  <sheetViews>
    <sheetView topLeftCell="A2" workbookViewId="0">
      <selection activeCell="A2" sqref="A2:L2"/>
    </sheetView>
  </sheetViews>
  <sheetFormatPr defaultRowHeight="15" outlineLevelCol="1" x14ac:dyDescent="0.25"/>
  <cols>
    <col min="1" max="1" width="27.85546875" bestFit="1" customWidth="1"/>
    <col min="2" max="2" width="12.140625" hidden="1" customWidth="1"/>
    <col min="3" max="5" width="12.140625" hidden="1" customWidth="1" outlineLevel="1"/>
    <col min="6" max="6" width="13.140625" hidden="1" customWidth="1" outlineLevel="1"/>
    <col min="7" max="7" width="1" style="279" hidden="1" customWidth="1" collapsed="1"/>
    <col min="8" max="8" width="15.28515625" bestFit="1" customWidth="1"/>
    <col min="9" max="9" width="14.28515625" bestFit="1" customWidth="1"/>
    <col min="10" max="10" width="15.28515625" bestFit="1" customWidth="1"/>
    <col min="11" max="12" width="15.85546875" customWidth="1"/>
    <col min="14" max="14" width="2" hidden="1" customWidth="1"/>
    <col min="15" max="15" width="20.42578125" hidden="1" customWidth="1"/>
    <col min="16" max="16" width="13.7109375" hidden="1" customWidth="1"/>
    <col min="17" max="17" width="0" hidden="1" customWidth="1"/>
    <col min="18" max="18" width="13.7109375" hidden="1" customWidth="1"/>
    <col min="19" max="19" width="15.28515625" hidden="1" customWidth="1"/>
    <col min="20" max="20" width="10.7109375" hidden="1" customWidth="1"/>
    <col min="21" max="29" width="0" hidden="1" customWidth="1"/>
    <col min="30" max="30" width="10" hidden="1" customWidth="1"/>
    <col min="31" max="31" width="4.5703125" hidden="1" customWidth="1"/>
    <col min="32" max="32" width="10" hidden="1" customWidth="1"/>
    <col min="33" max="33" width="0" hidden="1" customWidth="1"/>
  </cols>
  <sheetData>
    <row r="1" spans="1:35" s="41" customFormat="1" ht="15.75" hidden="1" thickBot="1" x14ac:dyDescent="0.3">
      <c r="A1" s="61">
        <v>1</v>
      </c>
      <c r="B1" s="61">
        <v>-1</v>
      </c>
      <c r="C1" s="61">
        <v>3</v>
      </c>
      <c r="D1" s="61">
        <v>6</v>
      </c>
      <c r="E1" s="61">
        <v>9</v>
      </c>
      <c r="F1" s="61">
        <v>12</v>
      </c>
      <c r="G1" s="268"/>
      <c r="H1" s="61">
        <v>12</v>
      </c>
      <c r="I1" s="61">
        <v>24</v>
      </c>
      <c r="J1" s="61">
        <v>36</v>
      </c>
      <c r="K1" s="61">
        <v>48</v>
      </c>
      <c r="L1" s="61">
        <v>60</v>
      </c>
      <c r="AI1" s="62" t="s">
        <v>278</v>
      </c>
    </row>
    <row r="2" spans="1:35" ht="18.75" x14ac:dyDescent="0.25">
      <c r="A2" s="535" t="s">
        <v>115</v>
      </c>
      <c r="B2" s="536"/>
      <c r="C2" s="536"/>
      <c r="D2" s="536"/>
      <c r="E2" s="536"/>
      <c r="F2" s="536"/>
      <c r="G2" s="536"/>
      <c r="H2" s="536"/>
      <c r="I2" s="536"/>
      <c r="J2" s="536"/>
      <c r="K2" s="536"/>
      <c r="L2" s="537"/>
      <c r="O2" s="46">
        <f ca="1">J27</f>
        <v>59374569.999999985</v>
      </c>
    </row>
    <row r="3" spans="1:35" x14ac:dyDescent="0.25">
      <c r="A3" s="538" t="s">
        <v>116</v>
      </c>
      <c r="B3" s="63" t="s">
        <v>304</v>
      </c>
      <c r="C3" s="540" t="s">
        <v>223</v>
      </c>
      <c r="D3" s="540"/>
      <c r="E3" s="540"/>
      <c r="F3" s="540"/>
      <c r="G3" s="540"/>
      <c r="H3" s="540"/>
      <c r="I3" s="540"/>
      <c r="J3" s="540"/>
      <c r="K3" s="540"/>
      <c r="L3" s="540"/>
      <c r="O3">
        <v>10</v>
      </c>
      <c r="R3" s="253">
        <f>(S6-P8)/P8</f>
        <v>10</v>
      </c>
      <c r="AD3" s="46">
        <v>120000</v>
      </c>
      <c r="AE3" s="64">
        <v>0.2</v>
      </c>
      <c r="AF3" s="46">
        <f>AD3*(1+AE3)</f>
        <v>144000</v>
      </c>
      <c r="AG3" s="46">
        <f>AF3-AD3</f>
        <v>24000</v>
      </c>
    </row>
    <row r="4" spans="1:35" x14ac:dyDescent="0.25">
      <c r="A4" s="539"/>
      <c r="B4" s="3" t="s">
        <v>117</v>
      </c>
      <c r="C4" s="3" t="s">
        <v>118</v>
      </c>
      <c r="D4" s="3" t="s">
        <v>119</v>
      </c>
      <c r="E4" s="3" t="s">
        <v>120</v>
      </c>
      <c r="F4" s="65" t="s">
        <v>121</v>
      </c>
      <c r="G4" s="268"/>
      <c r="H4" s="3" t="s">
        <v>122</v>
      </c>
      <c r="I4" s="3" t="s">
        <v>123</v>
      </c>
      <c r="J4" s="3" t="s">
        <v>124</v>
      </c>
      <c r="K4" s="3" t="s">
        <v>125</v>
      </c>
      <c r="L4" s="3" t="s">
        <v>126</v>
      </c>
      <c r="O4" s="46">
        <f ca="1">O3*O2</f>
        <v>593745699.99999988</v>
      </c>
      <c r="AD4" s="46">
        <f>AF3</f>
        <v>144000</v>
      </c>
      <c r="AE4" s="64">
        <v>0.2</v>
      </c>
      <c r="AF4" s="46">
        <f t="shared" ref="AF4:AF5" si="0">AD4*(1+AE4)</f>
        <v>172800</v>
      </c>
      <c r="AG4" s="46">
        <f t="shared" ref="AG4:AG5" si="1">AF4-AD4</f>
        <v>28800</v>
      </c>
    </row>
    <row r="5" spans="1:35" x14ac:dyDescent="0.25">
      <c r="A5" s="532" t="s">
        <v>127</v>
      </c>
      <c r="B5" s="533"/>
      <c r="C5" s="533"/>
      <c r="D5" s="533"/>
      <c r="E5" s="533"/>
      <c r="F5" s="533"/>
      <c r="G5" s="533"/>
      <c r="H5" s="533"/>
      <c r="I5" s="533"/>
      <c r="J5" s="533"/>
      <c r="K5" s="533"/>
      <c r="L5" s="534"/>
      <c r="O5" s="46">
        <f ca="1">O4/3</f>
        <v>197915233.33333328</v>
      </c>
      <c r="S5">
        <v>10</v>
      </c>
      <c r="AD5" s="46">
        <f>AF4</f>
        <v>172800</v>
      </c>
      <c r="AE5" s="64">
        <v>0.2</v>
      </c>
      <c r="AF5" s="46">
        <f t="shared" si="0"/>
        <v>207360</v>
      </c>
      <c r="AG5" s="46">
        <f t="shared" si="1"/>
        <v>34560</v>
      </c>
    </row>
    <row r="6" spans="1:35" x14ac:dyDescent="0.25">
      <c r="A6" s="66"/>
      <c r="B6" s="67"/>
      <c r="C6" s="68"/>
      <c r="D6" s="68"/>
      <c r="E6" s="68"/>
      <c r="F6" s="69"/>
      <c r="G6" s="269"/>
      <c r="R6" s="64">
        <f>R8/P8</f>
        <v>12.008989000000001</v>
      </c>
      <c r="S6" s="46">
        <f>(P8*S5)+P8</f>
        <v>1320000</v>
      </c>
      <c r="AG6" s="46">
        <f>SUM(AG3:AG5)</f>
        <v>87360</v>
      </c>
    </row>
    <row r="7" spans="1:35" x14ac:dyDescent="0.25">
      <c r="A7" s="70" t="s">
        <v>128</v>
      </c>
      <c r="B7" s="71">
        <f ca="1">SUMIFS(INDIRECT("'"&amp;$AI$1&amp;"'!"&amp;"$43:$43"),INDIRECT("'"&amp;$AI$1&amp;"'!"&amp;"$2:$2"),B$1)</f>
        <v>8</v>
      </c>
      <c r="C7" s="72">
        <f ca="1">SUMIFS(INDIRECT("'"&amp;$AI$1&amp;"'!"&amp;"$43:$43"),INDIRECT("'"&amp;$AI$1&amp;"'!"&amp;"$2:$2"),C$1)</f>
        <v>14</v>
      </c>
      <c r="D7" s="72">
        <f t="shared" ref="D7:L7" ca="1" si="2">SUMIFS(INDIRECT("'"&amp;$AI$1&amp;"'!"&amp;"$43:$43"),INDIRECT("'"&amp;$AI$1&amp;"'!"&amp;"$2:$2"),D$1)</f>
        <v>26</v>
      </c>
      <c r="E7" s="72">
        <f t="shared" ca="1" si="2"/>
        <v>47</v>
      </c>
      <c r="F7" s="73">
        <f t="shared" ca="1" si="2"/>
        <v>77</v>
      </c>
      <c r="G7" s="270">
        <f t="shared" ca="1" si="2"/>
        <v>0</v>
      </c>
      <c r="H7" s="72">
        <f t="shared" ca="1" si="2"/>
        <v>77</v>
      </c>
      <c r="I7" s="72">
        <f t="shared" ca="1" si="2"/>
        <v>287</v>
      </c>
      <c r="J7" s="72">
        <f t="shared" ca="1" si="2"/>
        <v>641</v>
      </c>
      <c r="K7" s="72">
        <f t="shared" ca="1" si="2"/>
        <v>1139</v>
      </c>
      <c r="L7" s="72">
        <f t="shared" ca="1" si="2"/>
        <v>1781</v>
      </c>
      <c r="P7" s="46">
        <f ca="1">O5</f>
        <v>197915233.33333328</v>
      </c>
    </row>
    <row r="8" spans="1:35" x14ac:dyDescent="0.25">
      <c r="A8" s="70" t="s">
        <v>129</v>
      </c>
      <c r="B8" s="71">
        <f ca="1">SUMIFS(INDIRECT("'"&amp;$AI$1&amp;"'!"&amp;"$45:$45"),INDIRECT("'"&amp;$AI$1&amp;"'!"&amp;"$2:$2"),B$1)</f>
        <v>128799.99999999997</v>
      </c>
      <c r="C8" s="72">
        <f ca="1">SUMIFS(INDIRECT("'"&amp;$AI$1&amp;"'!"&amp;"$45:$45"),INDIRECT("'"&amp;$AI$1&amp;"'!"&amp;"$2:$2"),C$1)</f>
        <v>225399.99999999994</v>
      </c>
      <c r="D8" s="72">
        <f ca="1">SUMIFS(INDIRECT("'"&amp;$AI$1&amp;"'!"&amp;"$45:$45"),INDIRECT("'"&amp;$AI$1&amp;"'!"&amp;"$2:$2"),D$1)</f>
        <v>418599.99999999983</v>
      </c>
      <c r="E8" s="72">
        <f ca="1">SUMIFS(INDIRECT("'"&amp;$AI$1&amp;"'!"&amp;"$45:$45"),INDIRECT("'"&amp;$AI$1&amp;"'!"&amp;"$2:$2"),E$1)</f>
        <v>756699.99999999977</v>
      </c>
      <c r="F8" s="73">
        <f ca="1">SUMIFS(INDIRECT("'"&amp;$AI$1&amp;"'!"&amp;"$45:$45"),INDIRECT("'"&amp;$AI$1&amp;"'!"&amp;"$2:$2"),F$1)</f>
        <v>1239699.9999999998</v>
      </c>
      <c r="G8" s="270"/>
      <c r="H8" s="72">
        <f ca="1">SUMIFS(INDIRECT("'"&amp;$AI$1&amp;"'!"&amp;"$45:$45"),INDIRECT("'"&amp;$AI$1&amp;"'!"&amp;"$2:$2"),H$1)</f>
        <v>1239699.9999999998</v>
      </c>
      <c r="I8" s="72">
        <f ca="1">SUMIFS(INDIRECT("'"&amp;$AI$1&amp;"'!"&amp;"$45:$45"),INDIRECT("'"&amp;$AI$1&amp;"'!"&amp;"$2:$2"),I$1)</f>
        <v>4620699.9999999991</v>
      </c>
      <c r="J8" s="72">
        <f ca="1">SUMIFS(INDIRECT("'"&amp;$AI$1&amp;"'!"&amp;"$45:$45"),INDIRECT("'"&amp;$AI$1&amp;"'!"&amp;"$2:$2"),J$1)</f>
        <v>10320099.999999998</v>
      </c>
      <c r="K8" s="72">
        <f ca="1">SUMIFS(INDIRECT("'"&amp;$AI$1&amp;"'!"&amp;"$45:$45"),INDIRECT("'"&amp;$AI$1&amp;"'!"&amp;"$2:$2"),K$1)</f>
        <v>18337899.999999996</v>
      </c>
      <c r="L8" s="72">
        <f ca="1">SUMIFS(INDIRECT("'"&amp;$AI$1&amp;"'!"&amp;"$45:$45"),INDIRECT("'"&amp;$AI$1&amp;"'!"&amp;"$2:$2"),L$1)</f>
        <v>28674099.999999993</v>
      </c>
      <c r="O8" t="s">
        <v>130</v>
      </c>
      <c r="P8" s="46">
        <v>120000</v>
      </c>
      <c r="Q8" s="64">
        <v>1.29</v>
      </c>
      <c r="R8" s="46">
        <f>P8*(1+Q8)^3</f>
        <v>1441078.6800000002</v>
      </c>
      <c r="S8" s="46">
        <f>R8-P8</f>
        <v>1321078.6800000002</v>
      </c>
      <c r="T8" s="46">
        <f>S8-R8</f>
        <v>-120000</v>
      </c>
      <c r="U8" s="74">
        <f ca="1">R8/$P$7</f>
        <v>7.2812923782016471E-3</v>
      </c>
    </row>
    <row r="9" spans="1:35" x14ac:dyDescent="0.25">
      <c r="A9" s="66"/>
      <c r="B9" s="75"/>
      <c r="C9" s="76"/>
      <c r="D9" s="77"/>
      <c r="E9" s="77"/>
      <c r="F9" s="78"/>
      <c r="G9" s="269"/>
      <c r="O9" t="s">
        <v>131</v>
      </c>
      <c r="P9" s="46">
        <v>500000</v>
      </c>
      <c r="Q9" s="64">
        <v>1.29</v>
      </c>
      <c r="R9" s="46">
        <f t="shared" ref="R9:R10" si="3">P9*(1+Q9)^3</f>
        <v>6004494.5000000009</v>
      </c>
      <c r="S9" s="46">
        <f t="shared" ref="S9:S10" si="4">R9-P9</f>
        <v>5504494.5000000009</v>
      </c>
      <c r="U9" s="74">
        <f t="shared" ref="U9:U10" ca="1" si="5">R9/$P$7</f>
        <v>3.0338718242506862E-2</v>
      </c>
    </row>
    <row r="10" spans="1:35" x14ac:dyDescent="0.25">
      <c r="A10" s="532" t="s">
        <v>132</v>
      </c>
      <c r="B10" s="533"/>
      <c r="C10" s="533"/>
      <c r="D10" s="533"/>
      <c r="E10" s="533"/>
      <c r="F10" s="533"/>
      <c r="G10" s="533"/>
      <c r="H10" s="533"/>
      <c r="I10" s="533"/>
      <c r="J10" s="533"/>
      <c r="K10" s="533"/>
      <c r="L10" s="534"/>
      <c r="O10" t="s">
        <v>133</v>
      </c>
      <c r="P10" s="46">
        <v>5000000</v>
      </c>
      <c r="Q10" s="64">
        <v>1.29</v>
      </c>
      <c r="R10" s="46">
        <f t="shared" si="3"/>
        <v>60044945.000000007</v>
      </c>
      <c r="S10" s="46">
        <f t="shared" si="4"/>
        <v>55044945.000000007</v>
      </c>
      <c r="U10" s="74">
        <f t="shared" ca="1" si="5"/>
        <v>0.30338718242506862</v>
      </c>
    </row>
    <row r="11" spans="1:35" x14ac:dyDescent="0.25">
      <c r="A11" s="79">
        <v>-4</v>
      </c>
      <c r="B11" s="2"/>
      <c r="C11" s="2"/>
      <c r="D11" s="2"/>
      <c r="E11" s="2"/>
      <c r="F11" s="80"/>
      <c r="G11" s="269"/>
    </row>
    <row r="12" spans="1:35" x14ac:dyDescent="0.25">
      <c r="A12" s="81" t="s">
        <v>134</v>
      </c>
      <c r="B12" s="82">
        <f ca="1">SUMIFS(INDIRECT("'"&amp;$AI$1&amp;"'!"&amp;"$45:$45"),INDIRECT("'"&amp;$AI$1&amp;"'!"&amp;"$2:$2"),"&gt;="&amp;A$11,INDIRECT("'"&amp;$AI$1&amp;"'!"&amp;"$2:$2"),"&lt;="&amp;B$1)</f>
        <v>321999.99999999988</v>
      </c>
      <c r="C12" s="82">
        <f ca="1">SUMIFS(INDIRECT("'"&amp;$AI$1&amp;"'!"&amp;"$45:$45"),INDIRECT("'"&amp;$AI$1&amp;"'!"&amp;"$2:$2"),"&gt;"&amp;B$1,INDIRECT("'"&amp;$AI$1&amp;"'!"&amp;"$2:$2"),"&lt;="&amp;C$1)</f>
        <v>579599.99999999977</v>
      </c>
      <c r="D12" s="82">
        <f t="shared" ref="D12:G12" ca="1" si="6">SUMIFS(INDIRECT("'"&amp;$AI$1&amp;"'!"&amp;"$45:$45"),INDIRECT("'"&amp;$AI$1&amp;"'!"&amp;"$2:$2"),"&gt;"&amp;C$1,INDIRECT("'"&amp;$AI$1&amp;"'!"&amp;"$2:$2"),"&lt;="&amp;D$1)</f>
        <v>1030399.9999999998</v>
      </c>
      <c r="E12" s="82">
        <f t="shared" ca="1" si="6"/>
        <v>1899799.9999999995</v>
      </c>
      <c r="F12" s="83">
        <f ca="1">SUMIFS(INDIRECT("'"&amp;$AI$1&amp;"'!"&amp;"$45:$45"),INDIRECT("'"&amp;$AI$1&amp;"'!"&amp;"$2:$2"),"&gt;"&amp;E$1,INDIRECT("'"&amp;$AI$1&amp;"'!"&amp;"$2:$2"),"&lt;="&amp;F$1)</f>
        <v>3203899.9999999991</v>
      </c>
      <c r="G12" s="271">
        <f t="shared" ca="1" si="6"/>
        <v>0</v>
      </c>
      <c r="H12" s="82">
        <f ca="1">SUMIFS(INDIRECT("'"&amp;$AI$1&amp;"'!"&amp;"$45:$45"),INDIRECT("'"&amp;$AI$1&amp;"'!"&amp;"$2:$2"),"&gt;="&amp;A$1,INDIRECT("'"&amp;$AI$1&amp;"'!"&amp;"$2:$2"),"&lt;="&amp;H$1)</f>
        <v>6713699.9999999991</v>
      </c>
      <c r="I12" s="82">
        <f ca="1">SUMIFS(INDIRECT("'"&amp;$AI$1&amp;"'!"&amp;"$45:$45"),INDIRECT("'"&amp;$AI$1&amp;"'!"&amp;"$2:$2"),"&gt;"&amp;H$1,INDIRECT("'"&amp;$AI$1&amp;"'!"&amp;"$2:$2"),"&lt;="&amp;I$1)</f>
        <v>34550599.999999993</v>
      </c>
      <c r="J12" s="82">
        <f t="shared" ref="J12:L12" ca="1" si="7">SUMIFS(INDIRECT("'"&amp;$AI$1&amp;"'!"&amp;"$45:$45"),INDIRECT("'"&amp;$AI$1&amp;"'!"&amp;"$2:$2"),"&gt;"&amp;I$1,INDIRECT("'"&amp;$AI$1&amp;"'!"&amp;"$2:$2"),"&lt;="&amp;J$1)</f>
        <v>90192199.999999985</v>
      </c>
      <c r="K12" s="82">
        <f t="shared" ca="1" si="7"/>
        <v>173654599.99999997</v>
      </c>
      <c r="L12" s="82">
        <f t="shared" ca="1" si="7"/>
        <v>284937799.99999994</v>
      </c>
    </row>
    <row r="13" spans="1:35" x14ac:dyDescent="0.25">
      <c r="A13" s="84" t="s">
        <v>135</v>
      </c>
      <c r="B13" s="85">
        <f ca="1">B12</f>
        <v>321999.99999999988</v>
      </c>
      <c r="C13" s="85">
        <f ca="1">C12+B13</f>
        <v>901599.99999999965</v>
      </c>
      <c r="D13" s="85">
        <f t="shared" ref="D13:F13" ca="1" si="8">D12+C13</f>
        <v>1931999.9999999995</v>
      </c>
      <c r="E13" s="85">
        <f t="shared" ca="1" si="8"/>
        <v>3831799.9999999991</v>
      </c>
      <c r="F13" s="86">
        <f t="shared" ca="1" si="8"/>
        <v>7035699.9999999981</v>
      </c>
      <c r="G13" s="271"/>
      <c r="H13" s="85">
        <f ca="1">H12</f>
        <v>6713699.9999999991</v>
      </c>
      <c r="I13" s="85">
        <f t="shared" ref="I13:L13" ca="1" si="9">I12+H13</f>
        <v>41264299.999999993</v>
      </c>
      <c r="J13" s="85">
        <f t="shared" ca="1" si="9"/>
        <v>131456499.99999997</v>
      </c>
      <c r="K13" s="85">
        <f t="shared" ca="1" si="9"/>
        <v>305111099.99999994</v>
      </c>
      <c r="L13" s="85">
        <f t="shared" ca="1" si="9"/>
        <v>590048899.99999988</v>
      </c>
      <c r="O13" t="s">
        <v>136</v>
      </c>
      <c r="P13" s="87">
        <v>0.25</v>
      </c>
    </row>
    <row r="14" spans="1:35" x14ac:dyDescent="0.25">
      <c r="A14" s="88"/>
      <c r="B14" s="89"/>
      <c r="C14" s="89"/>
      <c r="D14" s="89"/>
      <c r="E14" s="89"/>
      <c r="F14" s="90"/>
      <c r="G14" s="272"/>
      <c r="H14" s="89"/>
      <c r="I14" s="89"/>
      <c r="J14" s="89"/>
      <c r="K14" s="89"/>
      <c r="L14" s="89"/>
      <c r="O14" t="s">
        <v>137</v>
      </c>
      <c r="P14" s="87">
        <v>0.25</v>
      </c>
      <c r="Q14" s="91">
        <f>P14*P13</f>
        <v>6.25E-2</v>
      </c>
    </row>
    <row r="15" spans="1:35" x14ac:dyDescent="0.25">
      <c r="A15" s="532" t="s">
        <v>138</v>
      </c>
      <c r="B15" s="533"/>
      <c r="C15" s="533"/>
      <c r="D15" s="533"/>
      <c r="E15" s="533"/>
      <c r="F15" s="533"/>
      <c r="G15" s="533"/>
      <c r="H15" s="533"/>
      <c r="I15" s="533"/>
      <c r="J15" s="533"/>
      <c r="K15" s="533"/>
      <c r="L15" s="534"/>
      <c r="O15" t="s">
        <v>139</v>
      </c>
      <c r="P15" s="87">
        <f>1-P13*P14</f>
        <v>0.9375</v>
      </c>
    </row>
    <row r="16" spans="1:35" x14ac:dyDescent="0.25">
      <c r="A16" s="79">
        <v>-4</v>
      </c>
      <c r="B16" s="2"/>
      <c r="C16" s="2"/>
      <c r="D16" s="2"/>
      <c r="E16" s="2"/>
      <c r="F16" s="80"/>
      <c r="G16" s="269"/>
    </row>
    <row r="17" spans="1:19" x14ac:dyDescent="0.25">
      <c r="A17" s="92" t="s">
        <v>140</v>
      </c>
      <c r="B17" s="93">
        <f ca="1">SUMIFS(INDIRECT("'"&amp;$AI$1&amp;"'!"&amp;"$198:$198"),INDIRECT("'"&amp;$AI$1&amp;"'!"&amp;"$2:$2"),"&gt;="&amp;A$16,INDIRECT("'"&amp;$AI$1&amp;"'!"&amp;"$2:$2"),"&lt;="&amp;B$1)</f>
        <v>3600</v>
      </c>
      <c r="C17" s="93">
        <f ca="1">SUMIFS(INDIRECT("'"&amp;$AI$1&amp;"'!"&amp;"$198:$198"),INDIRECT("'"&amp;$AI$1&amp;"'!"&amp;"$2:$2"),"&gt;"&amp;B$1,INDIRECT("'"&amp;$AI$1&amp;"'!"&amp;"$2:$2"),"&lt;="&amp;C$1)</f>
        <v>197500</v>
      </c>
      <c r="D17" s="93">
        <f ca="1">SUMIFS(INDIRECT("'"&amp;$AI$1&amp;"'!"&amp;"$198:$198"),INDIRECT("'"&amp;$AI$1&amp;"'!"&amp;"$2:$2"),"&gt;"&amp;C$1,INDIRECT("'"&amp;$AI$1&amp;"'!"&amp;"$2:$2"),"&lt;="&amp;D$1)</f>
        <v>197500</v>
      </c>
      <c r="E17" s="93">
        <f ca="1">SUMIFS(INDIRECT("'"&amp;$AI$1&amp;"'!"&amp;"$198:$198"),INDIRECT("'"&amp;$AI$1&amp;"'!"&amp;"$2:$2"),"&gt;"&amp;D$1,INDIRECT("'"&amp;$AI$1&amp;"'!"&amp;"$2:$2"),"&lt;="&amp;E$1)</f>
        <v>197500</v>
      </c>
      <c r="F17" s="94">
        <f ca="1">SUMIFS(INDIRECT("'"&amp;$AI$1&amp;"'!"&amp;"$198:$198"),INDIRECT("'"&amp;$AI$1&amp;"'!"&amp;"$2:$2"),"&gt;"&amp;E$1,INDIRECT("'"&amp;$AI$1&amp;"'!"&amp;"$2:$2"),"&lt;="&amp;F$1)</f>
        <v>197500</v>
      </c>
      <c r="G17" s="273">
        <f t="shared" ref="G17" ca="1" si="10">SUMIFS(INDIRECT("'"&amp;$AI$1&amp;"'!"&amp;"$45:$45"),INDIRECT("'"&amp;$AI$1&amp;"'!"&amp;"$2:$2"),"&gt;"&amp;F$1,INDIRECT("'"&amp;$AI$1&amp;"'!"&amp;"$2:$2"),"&lt;="&amp;G$1)</f>
        <v>0</v>
      </c>
      <c r="H17" s="93">
        <f ca="1">SUMIFS(INDIRECT("'"&amp;$AI$1&amp;"'!"&amp;"$198:$198"),INDIRECT("'"&amp;$AI$1&amp;"'!"&amp;"$2:$2"),"&gt;="&amp;A$1,INDIRECT("'"&amp;$AI$1&amp;"'!"&amp;"$2:$2"),"&lt;="&amp;H$1)</f>
        <v>790000.00000000012</v>
      </c>
      <c r="I17" s="93">
        <f ca="1">SUMIFS(INDIRECT("'"&amp;$AI$1&amp;"'!"&amp;"$198:$198"),INDIRECT("'"&amp;$AI$1&amp;"'!"&amp;"$2:$2"),"&gt;"&amp;H$1,INDIRECT("'"&amp;$AI$1&amp;"'!"&amp;"$2:$2"),"&lt;="&amp;I$1)</f>
        <v>3949999.9999999995</v>
      </c>
      <c r="J17" s="93">
        <f t="shared" ref="J17:L17" ca="1" si="11">SUMIFS(INDIRECT("'"&amp;$AI$1&amp;"'!"&amp;"$198:$198"),INDIRECT("'"&amp;$AI$1&amp;"'!"&amp;"$2:$2"),"&gt;"&amp;I$1,INDIRECT("'"&amp;$AI$1&amp;"'!"&amp;"$2:$2"),"&lt;="&amp;J$1)</f>
        <v>7899999.9999999991</v>
      </c>
      <c r="K17" s="93">
        <f t="shared" ca="1" si="11"/>
        <v>12640000.000000002</v>
      </c>
      <c r="L17" s="93">
        <f t="shared" ca="1" si="11"/>
        <v>18169999.999999996</v>
      </c>
      <c r="N17">
        <v>1</v>
      </c>
      <c r="O17" t="s">
        <v>130</v>
      </c>
      <c r="P17" s="95">
        <f ca="1">U8/(1-$P$13)</f>
        <v>9.7083898376021955E-3</v>
      </c>
      <c r="R17" s="46">
        <f>P8</f>
        <v>120000</v>
      </c>
      <c r="S17" s="43">
        <f ca="1">R17/P17</f>
        <v>12360443.081428416</v>
      </c>
    </row>
    <row r="18" spans="1:19" x14ac:dyDescent="0.25">
      <c r="A18" s="66"/>
      <c r="B18" s="2"/>
      <c r="C18" s="2"/>
      <c r="D18" s="2"/>
      <c r="E18" s="2"/>
      <c r="F18" s="80"/>
      <c r="G18" s="269"/>
      <c r="O18" t="s">
        <v>131</v>
      </c>
      <c r="P18" s="95">
        <f ca="1">U9/(1-$P$13)</f>
        <v>4.0451624323342483E-2</v>
      </c>
      <c r="R18" s="46">
        <f t="shared" ref="R18:R19" si="12">P9</f>
        <v>500000</v>
      </c>
      <c r="S18" s="43">
        <f t="shared" ref="S18" ca="1" si="13">R18/P18</f>
        <v>12360443.081428416</v>
      </c>
    </row>
    <row r="19" spans="1:19" x14ac:dyDescent="0.25">
      <c r="A19" s="70" t="s">
        <v>141</v>
      </c>
      <c r="B19" s="96">
        <f ca="1">B12-B17</f>
        <v>318399.99999999988</v>
      </c>
      <c r="C19" s="96">
        <f t="shared" ref="C19:L19" ca="1" si="14">C12-C17</f>
        <v>382099.99999999977</v>
      </c>
      <c r="D19" s="96">
        <f t="shared" ca="1" si="14"/>
        <v>832899.99999999977</v>
      </c>
      <c r="E19" s="96">
        <f t="shared" ca="1" si="14"/>
        <v>1702299.9999999995</v>
      </c>
      <c r="F19" s="97">
        <f t="shared" ca="1" si="14"/>
        <v>3006399.9999999991</v>
      </c>
      <c r="G19" s="274">
        <f t="shared" ca="1" si="14"/>
        <v>0</v>
      </c>
      <c r="H19" s="96">
        <f t="shared" ca="1" si="14"/>
        <v>5923699.9999999991</v>
      </c>
      <c r="I19" s="96">
        <f t="shared" ca="1" si="14"/>
        <v>30600599.999999993</v>
      </c>
      <c r="J19" s="96">
        <f t="shared" ca="1" si="14"/>
        <v>82292199.999999985</v>
      </c>
      <c r="K19" s="96">
        <f t="shared" ca="1" si="14"/>
        <v>161014599.99999997</v>
      </c>
      <c r="L19" s="96">
        <f t="shared" ca="1" si="14"/>
        <v>266767799.99999994</v>
      </c>
      <c r="O19" t="s">
        <v>133</v>
      </c>
      <c r="P19" s="95">
        <f t="shared" ref="P19" ca="1" si="15">U10/(1-$P$13)</f>
        <v>0.40451624323342483</v>
      </c>
      <c r="R19" s="46">
        <f t="shared" si="12"/>
        <v>5000000</v>
      </c>
      <c r="S19" s="43">
        <f ca="1">R19/P19</f>
        <v>12360443.081428416</v>
      </c>
    </row>
    <row r="20" spans="1:19" x14ac:dyDescent="0.25">
      <c r="A20" s="70" t="s">
        <v>142</v>
      </c>
      <c r="B20" s="98">
        <f ca="1">IFERROR(B19/B$12,0)</f>
        <v>0.98881987577639752</v>
      </c>
      <c r="C20" s="98">
        <f t="shared" ref="C20:L20" ca="1" si="16">IFERROR(C19/C$12,0)</f>
        <v>0.65924775707384387</v>
      </c>
      <c r="D20" s="98">
        <f t="shared" ca="1" si="16"/>
        <v>0.80832686335403725</v>
      </c>
      <c r="E20" s="98">
        <f t="shared" ca="1" si="16"/>
        <v>0.89604168859879985</v>
      </c>
      <c r="F20" s="99">
        <f t="shared" ca="1" si="16"/>
        <v>0.93835637816411244</v>
      </c>
      <c r="G20" s="275">
        <f t="shared" ca="1" si="16"/>
        <v>0</v>
      </c>
      <c r="H20" s="98">
        <f ca="1">IFERROR(H19/H$12,0)</f>
        <v>0.88233016071614756</v>
      </c>
      <c r="I20" s="98">
        <f t="shared" ca="1" si="16"/>
        <v>0.88567492315618246</v>
      </c>
      <c r="J20" s="98">
        <f t="shared" ca="1" si="16"/>
        <v>0.91240927707717512</v>
      </c>
      <c r="K20" s="98">
        <f t="shared" ca="1" si="16"/>
        <v>0.92721183314464461</v>
      </c>
      <c r="L20" s="98">
        <f t="shared" ca="1" si="16"/>
        <v>0.93623169688261787</v>
      </c>
    </row>
    <row r="21" spans="1:19" x14ac:dyDescent="0.25">
      <c r="A21" s="79">
        <v>-4</v>
      </c>
      <c r="B21" s="2"/>
      <c r="C21" s="2"/>
      <c r="D21" s="2"/>
      <c r="E21" s="2"/>
      <c r="F21" s="80"/>
      <c r="G21" s="269"/>
      <c r="N21">
        <v>2</v>
      </c>
      <c r="O21" t="s">
        <v>130</v>
      </c>
      <c r="P21" s="100">
        <f ca="1">P17/(1-$P$14)</f>
        <v>1.2944519783469595E-2</v>
      </c>
      <c r="R21" s="46">
        <f>P8</f>
        <v>120000</v>
      </c>
      <c r="S21" s="43">
        <f ca="1">R21/P21</f>
        <v>9270332.3110713121</v>
      </c>
    </row>
    <row r="22" spans="1:19" x14ac:dyDescent="0.25">
      <c r="A22" s="92" t="s">
        <v>143</v>
      </c>
      <c r="B22" s="93">
        <f ca="1">SUMIFS(INDIRECT("'"&amp;$AI$1&amp;"'!"&amp;"$231:$231"),INDIRECT("'"&amp;$AI$1&amp;"'!"&amp;"$2:$2"),"&gt;="&amp;A$21,INDIRECT("'"&amp;$AI$1&amp;"'!"&amp;"$2:$2"),"&lt;="&amp;B$1)</f>
        <v>44500</v>
      </c>
      <c r="C22" s="93">
        <f ca="1">SUMIFS(INDIRECT("'"&amp;$AI$1&amp;"'!"&amp;"$231:$231"),INDIRECT("'"&amp;$AI$1&amp;"'!"&amp;"$2:$2"),"&gt;"&amp;B$1,INDIRECT("'"&amp;$AI$1&amp;"'!"&amp;"$2:$2"),"&lt;="&amp;C$1)</f>
        <v>430940</v>
      </c>
      <c r="D22" s="93">
        <f ca="1">SUMIFS(INDIRECT("'"&amp;$AI$1&amp;"'!"&amp;"$231:$231"),INDIRECT("'"&amp;$AI$1&amp;"'!"&amp;"$2:$2"),"&gt;"&amp;C$1,INDIRECT("'"&amp;$AI$1&amp;"'!"&amp;"$2:$2"),"&lt;="&amp;D$1)</f>
        <v>601560</v>
      </c>
      <c r="E22" s="93">
        <f ca="1">SUMIFS(INDIRECT("'"&amp;$AI$1&amp;"'!"&amp;"$231:$231"),INDIRECT("'"&amp;$AI$1&amp;"'!"&amp;"$2:$2"),"&gt;"&amp;D$1,INDIRECT("'"&amp;$AI$1&amp;"'!"&amp;"$2:$2"),"&lt;="&amp;E$1)</f>
        <v>827220</v>
      </c>
      <c r="F22" s="94">
        <f ca="1">SUMIFS(INDIRECT("'"&amp;$AI$1&amp;"'!"&amp;"$231:$231"),INDIRECT("'"&amp;$AI$1&amp;"'!"&amp;"$2:$2"),"&gt;"&amp;E$1,INDIRECT("'"&amp;$AI$1&amp;"'!"&amp;"$2:$2"),"&lt;="&amp;F$1)</f>
        <v>1132335</v>
      </c>
      <c r="G22" s="273">
        <f t="shared" ref="G22" ca="1" si="17">SUMIFS(INDIRECT("'"&amp;$AI$1&amp;"'!"&amp;"$45:$45"),INDIRECT("'"&amp;$AI$1&amp;"'!"&amp;"$2:$2"),"&gt;"&amp;F$1,INDIRECT("'"&amp;$AI$1&amp;"'!"&amp;"$2:$2"),"&lt;="&amp;G$1)</f>
        <v>0</v>
      </c>
      <c r="H22" s="93">
        <f ca="1">SUMIFS(INDIRECT("'"&amp;$AI$1&amp;"'!"&amp;"$231:$231"),INDIRECT("'"&amp;$AI$1&amp;"'!"&amp;"$2:$2"),"&gt;="&amp;A$1,INDIRECT("'"&amp;$AI$1&amp;"'!"&amp;"$2:$2"),"&lt;="&amp;H$1)</f>
        <v>2992055</v>
      </c>
      <c r="I22" s="93">
        <f ca="1">SUMIFS(INDIRECT("'"&amp;$AI$1&amp;"'!"&amp;"$231:$231"),INDIRECT("'"&amp;$AI$1&amp;"'!"&amp;"$2:$2"),"&gt;"&amp;H$1,INDIRECT("'"&amp;$AI$1&amp;"'!"&amp;"$2:$2"),"&lt;="&amp;I$1)</f>
        <v>10150715</v>
      </c>
      <c r="J22" s="93">
        <f ca="1">SUMIFS(INDIRECT("'"&amp;$AI$1&amp;"'!"&amp;"$231:$231"),INDIRECT("'"&amp;$AI$1&amp;"'!"&amp;"$2:$2"),"&gt;"&amp;I$1,INDIRECT("'"&amp;$AI$1&amp;"'!"&amp;"$2:$2"),"&lt;="&amp;J$1)</f>
        <v>22917629.999999996</v>
      </c>
      <c r="K22" s="93">
        <f ca="1">SUMIFS(INDIRECT("'"&amp;$AI$1&amp;"'!"&amp;"$231:$231"),INDIRECT("'"&amp;$AI$1&amp;"'!"&amp;"$2:$2"),"&gt;"&amp;J$1,INDIRECT("'"&amp;$AI$1&amp;"'!"&amp;"$2:$2"),"&lt;="&amp;K$1)</f>
        <v>43496873.333333336</v>
      </c>
      <c r="L22" s="93">
        <f ca="1">SUMIFS(INDIRECT("'"&amp;$AI$1&amp;"'!"&amp;"$231:$231"),INDIRECT("'"&amp;$AI$1&amp;"'!"&amp;"$2:$2"),"&gt;"&amp;K$1,INDIRECT("'"&amp;$AI$1&amp;"'!"&amp;"$2:$2"),"&lt;="&amp;L$1)</f>
        <v>70563170</v>
      </c>
      <c r="O22" t="s">
        <v>131</v>
      </c>
      <c r="P22" s="100">
        <f ca="1">P18/(1-$P$14)</f>
        <v>5.3935499097789975E-2</v>
      </c>
      <c r="R22" s="46">
        <f t="shared" ref="R22:R23" si="18">P9</f>
        <v>500000</v>
      </c>
      <c r="S22" s="43">
        <f t="shared" ref="S22" ca="1" si="19">R22/P22</f>
        <v>9270332.3110713121</v>
      </c>
    </row>
    <row r="23" spans="1:19" x14ac:dyDescent="0.25">
      <c r="A23" s="66"/>
      <c r="B23" s="2"/>
      <c r="C23" s="2"/>
      <c r="D23" s="2"/>
      <c r="E23" s="2"/>
      <c r="F23" s="80"/>
      <c r="G23" s="269"/>
      <c r="H23" s="101"/>
      <c r="I23" s="101"/>
      <c r="J23" s="101"/>
      <c r="K23" s="101"/>
      <c r="L23" s="101"/>
      <c r="O23" t="s">
        <v>133</v>
      </c>
      <c r="P23" s="100">
        <f ca="1">P19/(1-$P$14)</f>
        <v>0.53935499097789974</v>
      </c>
      <c r="R23" s="46">
        <f t="shared" si="18"/>
        <v>5000000</v>
      </c>
      <c r="S23" s="43">
        <f ca="1">R23/P23</f>
        <v>9270332.3110713121</v>
      </c>
    </row>
    <row r="24" spans="1:19" x14ac:dyDescent="0.25">
      <c r="A24" s="81" t="s">
        <v>144</v>
      </c>
      <c r="B24" s="82">
        <f ca="1">B22+B17</f>
        <v>48100</v>
      </c>
      <c r="C24" s="82">
        <f t="shared" ref="C24:L24" ca="1" si="20">C22+C17</f>
        <v>628440</v>
      </c>
      <c r="D24" s="82">
        <f t="shared" ca="1" si="20"/>
        <v>799060</v>
      </c>
      <c r="E24" s="82">
        <f t="shared" ca="1" si="20"/>
        <v>1024720</v>
      </c>
      <c r="F24" s="83">
        <f t="shared" ca="1" si="20"/>
        <v>1329835</v>
      </c>
      <c r="G24" s="271">
        <f t="shared" ca="1" si="20"/>
        <v>0</v>
      </c>
      <c r="H24" s="82">
        <f t="shared" ca="1" si="20"/>
        <v>3782055</v>
      </c>
      <c r="I24" s="82">
        <f t="shared" ca="1" si="20"/>
        <v>14100715</v>
      </c>
      <c r="J24" s="82">
        <f t="shared" ca="1" si="20"/>
        <v>30817629.999999996</v>
      </c>
      <c r="K24" s="82">
        <f t="shared" ca="1" si="20"/>
        <v>56136873.333333336</v>
      </c>
      <c r="L24" s="82">
        <f t="shared" ca="1" si="20"/>
        <v>88733170</v>
      </c>
    </row>
    <row r="25" spans="1:19" x14ac:dyDescent="0.25">
      <c r="A25" s="88"/>
      <c r="B25" s="102"/>
      <c r="C25" s="102"/>
      <c r="D25" s="102"/>
      <c r="E25" s="102"/>
      <c r="F25" s="90"/>
      <c r="G25" s="272"/>
      <c r="H25" s="103"/>
      <c r="I25" s="103"/>
      <c r="J25" s="103"/>
      <c r="K25" s="103"/>
      <c r="L25" s="89"/>
      <c r="O25" t="s">
        <v>130</v>
      </c>
      <c r="P25" s="95">
        <f ca="1">U8/(1-$Q$14)</f>
        <v>7.7667118700817566E-3</v>
      </c>
      <c r="R25" s="46">
        <f>P8</f>
        <v>120000</v>
      </c>
      <c r="S25" s="43">
        <f ca="1">R25/P25</f>
        <v>15450553.85178552</v>
      </c>
    </row>
    <row r="26" spans="1:19" x14ac:dyDescent="0.25">
      <c r="A26" s="104"/>
      <c r="B26" s="105"/>
      <c r="C26" s="105"/>
      <c r="D26" s="105"/>
      <c r="E26" s="105"/>
      <c r="F26" s="106"/>
      <c r="G26" s="276"/>
      <c r="H26" s="107"/>
      <c r="I26" s="107"/>
      <c r="J26" s="107"/>
      <c r="K26" s="107"/>
      <c r="L26" s="107"/>
      <c r="O26" t="s">
        <v>131</v>
      </c>
      <c r="P26" s="95">
        <f t="shared" ref="P26:P27" ca="1" si="21">U9/(1-$Q$14)</f>
        <v>3.2361299458673984E-2</v>
      </c>
      <c r="R26" s="46">
        <f t="shared" ref="R26:R27" si="22">P9</f>
        <v>500000</v>
      </c>
      <c r="S26" s="43">
        <f t="shared" ref="S26" ca="1" si="23">R26/P26</f>
        <v>15450553.85178552</v>
      </c>
    </row>
    <row r="27" spans="1:19" x14ac:dyDescent="0.25">
      <c r="A27" s="108" t="s">
        <v>145</v>
      </c>
      <c r="B27" s="109">
        <f ca="1">B12-B24</f>
        <v>273899.99999999988</v>
      </c>
      <c r="C27" s="109">
        <f t="shared" ref="C27:L27" ca="1" si="24">C12-C24</f>
        <v>-48840.000000000233</v>
      </c>
      <c r="D27" s="109">
        <f t="shared" ca="1" si="24"/>
        <v>231339.99999999977</v>
      </c>
      <c r="E27" s="109">
        <f t="shared" ca="1" si="24"/>
        <v>875079.99999999953</v>
      </c>
      <c r="F27" s="110">
        <f t="shared" ca="1" si="24"/>
        <v>1874064.9999999991</v>
      </c>
      <c r="G27" s="277">
        <f t="shared" ca="1" si="24"/>
        <v>0</v>
      </c>
      <c r="H27" s="109">
        <f t="shared" ca="1" si="24"/>
        <v>2931644.9999999991</v>
      </c>
      <c r="I27" s="109">
        <f t="shared" ca="1" si="24"/>
        <v>20449884.999999993</v>
      </c>
      <c r="J27" s="109">
        <f t="shared" ca="1" si="24"/>
        <v>59374569.999999985</v>
      </c>
      <c r="K27" s="109">
        <f t="shared" ca="1" si="24"/>
        <v>117517726.66666663</v>
      </c>
      <c r="L27" s="109">
        <f t="shared" ca="1" si="24"/>
        <v>196204629.99999994</v>
      </c>
      <c r="O27" t="s">
        <v>133</v>
      </c>
      <c r="P27" s="95">
        <f t="shared" ca="1" si="21"/>
        <v>0.32361299458673987</v>
      </c>
      <c r="R27" s="46">
        <f t="shared" si="22"/>
        <v>5000000</v>
      </c>
      <c r="S27" s="43">
        <f ca="1">R27/P27</f>
        <v>15450553.85178552</v>
      </c>
    </row>
    <row r="28" spans="1:19" x14ac:dyDescent="0.25">
      <c r="A28" s="111" t="s">
        <v>142</v>
      </c>
      <c r="B28" s="112">
        <f ca="1">B27/B12</f>
        <v>0.85062111801242235</v>
      </c>
      <c r="C28" s="112">
        <f t="shared" ref="C28:L28" ca="1" si="25">C27/C12</f>
        <v>-8.4265010351967304E-2</v>
      </c>
      <c r="D28" s="112">
        <f t="shared" ca="1" si="25"/>
        <v>0.22451475155279485</v>
      </c>
      <c r="E28" s="112">
        <f t="shared" ca="1" si="25"/>
        <v>0.46061690704284647</v>
      </c>
      <c r="F28" s="113">
        <f t="shared" ca="1" si="25"/>
        <v>0.58493242610568352</v>
      </c>
      <c r="G28" s="278" t="e">
        <f t="shared" ca="1" si="25"/>
        <v>#DIV/0!</v>
      </c>
      <c r="H28" s="112">
        <f ca="1">H27/H12</f>
        <v>0.43666607087001197</v>
      </c>
      <c r="I28" s="112">
        <f t="shared" ca="1" si="25"/>
        <v>0.59188219596765312</v>
      </c>
      <c r="J28" s="112">
        <f t="shared" ca="1" si="25"/>
        <v>0.65831158348504637</v>
      </c>
      <c r="K28" s="112">
        <f t="shared" ca="1" si="25"/>
        <v>0.67673258679393833</v>
      </c>
      <c r="L28" s="112">
        <f t="shared" ca="1" si="25"/>
        <v>0.68858757946471116</v>
      </c>
    </row>
    <row r="34" spans="10:16" x14ac:dyDescent="0.25">
      <c r="J34" s="46"/>
    </row>
    <row r="35" spans="10:16" x14ac:dyDescent="0.25">
      <c r="J35" s="45"/>
    </row>
    <row r="36" spans="10:16" x14ac:dyDescent="0.25">
      <c r="J36" s="46"/>
    </row>
    <row r="38" spans="10:16" x14ac:dyDescent="0.25">
      <c r="J38" s="43"/>
      <c r="O38" s="74">
        <v>6.25E-2</v>
      </c>
    </row>
    <row r="39" spans="10:16" x14ac:dyDescent="0.25">
      <c r="O39" s="74">
        <v>0.92500000000000004</v>
      </c>
    </row>
    <row r="40" spans="10:16" x14ac:dyDescent="0.25">
      <c r="P40" s="64">
        <v>0.5</v>
      </c>
    </row>
    <row r="41" spans="10:16" x14ac:dyDescent="0.25">
      <c r="O41" s="114">
        <f>1-O39</f>
        <v>7.4999999999999956E-2</v>
      </c>
      <c r="P41" s="64">
        <f>$P$40/(1-O41)</f>
        <v>0.54054054054054046</v>
      </c>
    </row>
    <row r="42" spans="10:16" x14ac:dyDescent="0.25">
      <c r="O42" s="74">
        <v>0.92500000000000004</v>
      </c>
      <c r="P42" s="64">
        <f>$P$40*O42</f>
        <v>0.46250000000000002</v>
      </c>
    </row>
    <row r="43" spans="10:16" x14ac:dyDescent="0.25">
      <c r="P43" s="43"/>
    </row>
    <row r="45" spans="10:16" x14ac:dyDescent="0.25">
      <c r="O45" s="95">
        <v>0.1</v>
      </c>
    </row>
    <row r="46" spans="10:16" x14ac:dyDescent="0.25">
      <c r="O46" s="95">
        <v>0.25</v>
      </c>
    </row>
    <row r="47" spans="10:16" x14ac:dyDescent="0.25">
      <c r="O47" s="115">
        <f>1-O46</f>
        <v>0.75</v>
      </c>
    </row>
    <row r="49" spans="15:15" x14ac:dyDescent="0.25">
      <c r="O49" s="115">
        <f>O45/O47</f>
        <v>0.13333333333333333</v>
      </c>
    </row>
    <row r="51" spans="15:15" x14ac:dyDescent="0.25">
      <c r="O51" s="95">
        <v>0.25</v>
      </c>
    </row>
    <row r="52" spans="15:15" x14ac:dyDescent="0.25">
      <c r="O52" s="115">
        <f>1-O51</f>
        <v>0.75</v>
      </c>
    </row>
    <row r="53" spans="15:15" x14ac:dyDescent="0.25">
      <c r="O53" s="95"/>
    </row>
    <row r="54" spans="15:15" x14ac:dyDescent="0.25">
      <c r="O54" s="95">
        <f>O49/O52</f>
        <v>0.17777777777777778</v>
      </c>
    </row>
  </sheetData>
  <mergeCells count="6">
    <mergeCell ref="A15:L15"/>
    <mergeCell ref="A2:L2"/>
    <mergeCell ref="A3:A4"/>
    <mergeCell ref="C3:L3"/>
    <mergeCell ref="A5:L5"/>
    <mergeCell ref="A10:L10"/>
  </mergeCells>
  <pageMargins left="0.7" right="0.7" top="0.75" bottom="0.75" header="0.3" footer="0.3"/>
  <ignoredErrors>
    <ignoredError sqref="H12" formula="1"/>
  </ignoredError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8" tint="0.79998168889431442"/>
  </sheetPr>
  <dimension ref="A1:R48"/>
  <sheetViews>
    <sheetView workbookViewId="0">
      <pane ySplit="1" topLeftCell="A11" activePane="bottomLeft" state="frozen"/>
      <selection pane="bottomLeft" activeCell="K42" sqref="K42"/>
    </sheetView>
  </sheetViews>
  <sheetFormatPr defaultRowHeight="15" x14ac:dyDescent="0.25"/>
  <cols>
    <col min="1" max="1" width="22.85546875" bestFit="1" customWidth="1"/>
    <col min="2" max="2" width="7.85546875" style="41" customWidth="1"/>
    <col min="3" max="3" width="3.28515625" style="117" customWidth="1"/>
    <col min="4" max="5" width="18.85546875" customWidth="1"/>
    <col min="6" max="6" width="12.7109375" style="41" bestFit="1" customWidth="1"/>
    <col min="7" max="7" width="10" style="41" bestFit="1" customWidth="1"/>
    <col min="8" max="8" width="12" style="41" bestFit="1" customWidth="1"/>
    <col min="9" max="9" width="3.28515625" style="117" customWidth="1"/>
    <col min="10" max="10" width="30.140625" bestFit="1" customWidth="1"/>
    <col min="11" max="11" width="10" bestFit="1" customWidth="1"/>
    <col min="12" max="12" width="9" bestFit="1" customWidth="1"/>
    <col min="13" max="13" width="9" customWidth="1"/>
    <col min="14" max="14" width="8" bestFit="1" customWidth="1"/>
    <col min="15" max="15" width="8" style="56" hidden="1" customWidth="1"/>
    <col min="16" max="16" width="3.28515625" style="117" customWidth="1"/>
    <col min="18" max="18" width="10" bestFit="1" customWidth="1"/>
  </cols>
  <sheetData>
    <row r="1" spans="1:18" ht="19.5" thickBot="1" x14ac:dyDescent="0.3">
      <c r="A1" s="544" t="s">
        <v>146</v>
      </c>
      <c r="B1" s="544"/>
      <c r="C1" s="116"/>
      <c r="D1" s="544" t="s">
        <v>132</v>
      </c>
      <c r="E1" s="544"/>
      <c r="F1" s="544"/>
      <c r="G1" s="544"/>
      <c r="H1" s="544"/>
      <c r="I1" s="116"/>
      <c r="J1" s="545" t="s">
        <v>138</v>
      </c>
      <c r="K1" s="546"/>
      <c r="L1" s="546"/>
      <c r="M1" s="546"/>
      <c r="N1" s="546"/>
      <c r="O1" s="547"/>
      <c r="P1" s="116"/>
    </row>
    <row r="2" spans="1:18" ht="15.75" thickTop="1" x14ac:dyDescent="0.25">
      <c r="A2" s="548" t="s">
        <v>147</v>
      </c>
      <c r="B2" s="548"/>
      <c r="D2" s="118" t="s">
        <v>148</v>
      </c>
      <c r="E2" s="50" t="s">
        <v>149</v>
      </c>
      <c r="F2" s="50" t="s">
        <v>150</v>
      </c>
      <c r="G2" s="50" t="s">
        <v>151</v>
      </c>
      <c r="H2" s="50" t="s">
        <v>152</v>
      </c>
      <c r="J2" s="29" t="s">
        <v>153</v>
      </c>
      <c r="K2" s="29" t="s">
        <v>154</v>
      </c>
      <c r="L2" s="29" t="s">
        <v>155</v>
      </c>
      <c r="M2" s="29" t="s">
        <v>156</v>
      </c>
      <c r="N2" s="29" t="s">
        <v>157</v>
      </c>
      <c r="O2" s="119" t="s">
        <v>158</v>
      </c>
    </row>
    <row r="3" spans="1:18" x14ac:dyDescent="0.25">
      <c r="A3" t="s">
        <v>159</v>
      </c>
      <c r="B3" s="41">
        <v>1</v>
      </c>
      <c r="D3" t="s">
        <v>160</v>
      </c>
      <c r="E3" s="41">
        <v>1</v>
      </c>
      <c r="F3" s="120">
        <v>1000</v>
      </c>
      <c r="G3" s="121">
        <v>0.2</v>
      </c>
      <c r="H3" s="120">
        <f>G3*F3</f>
        <v>200</v>
      </c>
      <c r="J3" t="s">
        <v>161</v>
      </c>
      <c r="K3" s="45">
        <v>150000</v>
      </c>
      <c r="L3" s="45">
        <f>K3*$K$36</f>
        <v>16500</v>
      </c>
      <c r="M3" s="45">
        <v>5000</v>
      </c>
      <c r="N3" s="45">
        <v>3000</v>
      </c>
      <c r="O3" s="122" t="s">
        <v>162</v>
      </c>
      <c r="R3" s="46"/>
    </row>
    <row r="4" spans="1:18" x14ac:dyDescent="0.25">
      <c r="A4" t="s">
        <v>163</v>
      </c>
      <c r="B4" s="41">
        <v>0</v>
      </c>
      <c r="D4" t="s">
        <v>164</v>
      </c>
      <c r="E4" s="41">
        <v>5</v>
      </c>
      <c r="F4" s="120">
        <f>$F$3*E4</f>
        <v>5000</v>
      </c>
      <c r="G4" s="121">
        <v>0.2</v>
      </c>
      <c r="H4" s="120">
        <f>G4*F4</f>
        <v>1000</v>
      </c>
      <c r="J4" t="s">
        <v>165</v>
      </c>
      <c r="K4" s="45">
        <v>100000</v>
      </c>
      <c r="L4" s="45">
        <f>K4*$K$36</f>
        <v>11000</v>
      </c>
      <c r="M4" s="45">
        <v>5000</v>
      </c>
      <c r="N4" s="45">
        <v>3000</v>
      </c>
      <c r="O4" s="122" t="s">
        <v>162</v>
      </c>
      <c r="R4" s="46"/>
    </row>
    <row r="5" spans="1:18" x14ac:dyDescent="0.25">
      <c r="D5" t="s">
        <v>166</v>
      </c>
      <c r="E5" s="41">
        <v>10</v>
      </c>
      <c r="F5" s="120">
        <f>$F$3*E5</f>
        <v>10000</v>
      </c>
      <c r="G5" s="121">
        <v>0.2</v>
      </c>
      <c r="H5" s="120">
        <f t="shared" ref="H5" si="0">G5*F5</f>
        <v>2000</v>
      </c>
      <c r="J5" t="s">
        <v>167</v>
      </c>
      <c r="K5" s="45">
        <v>80000</v>
      </c>
      <c r="L5" s="45">
        <f>K5*$K$36</f>
        <v>8800</v>
      </c>
      <c r="M5" s="45">
        <v>5000</v>
      </c>
      <c r="N5" s="45">
        <v>3000</v>
      </c>
      <c r="O5" s="122" t="s">
        <v>162</v>
      </c>
      <c r="R5" s="46"/>
    </row>
    <row r="6" spans="1:18" x14ac:dyDescent="0.25">
      <c r="A6" s="549" t="s">
        <v>168</v>
      </c>
      <c r="B6" s="549"/>
      <c r="F6" s="45"/>
      <c r="J6" t="s">
        <v>169</v>
      </c>
      <c r="K6" s="45">
        <v>75000</v>
      </c>
      <c r="L6" s="45">
        <f>K6*$K$36</f>
        <v>8250</v>
      </c>
      <c r="M6" s="45">
        <v>5000</v>
      </c>
      <c r="N6" s="45">
        <v>3000</v>
      </c>
      <c r="O6" s="122" t="s">
        <v>162</v>
      </c>
      <c r="R6" s="46"/>
    </row>
    <row r="7" spans="1:18" ht="15.75" x14ac:dyDescent="0.25">
      <c r="A7" s="541" t="s">
        <v>170</v>
      </c>
      <c r="B7" s="541"/>
      <c r="D7" s="542" t="s">
        <v>171</v>
      </c>
      <c r="E7" s="543"/>
      <c r="F7" s="123" t="s">
        <v>172</v>
      </c>
      <c r="G7" s="123" t="s">
        <v>173</v>
      </c>
      <c r="H7" s="124" t="s">
        <v>174</v>
      </c>
      <c r="R7" s="46"/>
    </row>
    <row r="8" spans="1:18" x14ac:dyDescent="0.25">
      <c r="A8" s="41" t="s">
        <v>175</v>
      </c>
      <c r="B8" s="41">
        <v>3</v>
      </c>
      <c r="D8" s="550" t="s">
        <v>176</v>
      </c>
      <c r="E8" s="551"/>
      <c r="F8" s="44">
        <v>10</v>
      </c>
      <c r="G8" s="44">
        <v>15</v>
      </c>
      <c r="H8" s="125">
        <v>20</v>
      </c>
      <c r="J8" s="29" t="s">
        <v>177</v>
      </c>
      <c r="K8" s="29" t="s">
        <v>154</v>
      </c>
      <c r="L8" s="29" t="s">
        <v>155</v>
      </c>
      <c r="M8" s="29" t="s">
        <v>156</v>
      </c>
      <c r="N8" s="29" t="s">
        <v>157</v>
      </c>
      <c r="O8" s="119" t="s">
        <v>158</v>
      </c>
      <c r="R8" s="46"/>
    </row>
    <row r="9" spans="1:18" x14ac:dyDescent="0.25">
      <c r="A9" t="s">
        <v>178</v>
      </c>
      <c r="B9" s="41">
        <v>1</v>
      </c>
      <c r="D9" s="552" t="s">
        <v>179</v>
      </c>
      <c r="E9" s="553"/>
      <c r="F9" s="126">
        <v>0.3</v>
      </c>
      <c r="G9" s="126">
        <v>0.5</v>
      </c>
      <c r="H9" s="127">
        <f>1-SUM(F9:G9)</f>
        <v>0.19999999999999996</v>
      </c>
      <c r="J9" t="s">
        <v>180</v>
      </c>
      <c r="K9" s="45">
        <v>240000</v>
      </c>
      <c r="L9" s="45">
        <f>K9*$K$36</f>
        <v>26400</v>
      </c>
      <c r="M9" s="45">
        <v>5000</v>
      </c>
      <c r="N9" s="45">
        <v>3000</v>
      </c>
      <c r="O9" s="122" t="s">
        <v>162</v>
      </c>
      <c r="R9" s="46"/>
    </row>
    <row r="10" spans="1:18" x14ac:dyDescent="0.25">
      <c r="A10" t="s">
        <v>181</v>
      </c>
      <c r="B10" s="128">
        <f>B9</f>
        <v>1</v>
      </c>
      <c r="D10" s="554" t="s">
        <v>182</v>
      </c>
      <c r="E10" s="555"/>
      <c r="F10" s="556">
        <f>((H3*F8*F9)+(H4*G8*G9)+(H5*H8*H9))</f>
        <v>16099.999999999998</v>
      </c>
      <c r="G10" s="556"/>
      <c r="H10" s="556"/>
      <c r="J10" t="s">
        <v>183</v>
      </c>
      <c r="K10" s="45">
        <v>150000</v>
      </c>
      <c r="L10" s="45">
        <f>K10*$K$36</f>
        <v>16500</v>
      </c>
      <c r="M10" s="45">
        <v>5000</v>
      </c>
      <c r="N10" s="45">
        <v>3000</v>
      </c>
      <c r="O10" s="122" t="s">
        <v>162</v>
      </c>
      <c r="R10" s="46"/>
    </row>
    <row r="11" spans="1:18" x14ac:dyDescent="0.25">
      <c r="D11" s="554" t="s">
        <v>184</v>
      </c>
      <c r="E11" s="555"/>
      <c r="F11" s="557">
        <f>((H3*F9)+(H4*G9)+(H5*H9))</f>
        <v>959.99999999999989</v>
      </c>
      <c r="G11" s="557"/>
      <c r="H11" s="557"/>
      <c r="J11" t="s">
        <v>185</v>
      </c>
      <c r="K11" s="45">
        <v>120000</v>
      </c>
      <c r="L11" s="45">
        <f>K11*$K$36</f>
        <v>13200</v>
      </c>
      <c r="M11" s="45">
        <v>5000</v>
      </c>
      <c r="N11" s="45">
        <v>3000</v>
      </c>
      <c r="O11" s="122" t="s">
        <v>186</v>
      </c>
      <c r="R11" s="46"/>
    </row>
    <row r="12" spans="1:18" x14ac:dyDescent="0.25">
      <c r="A12" s="541" t="s">
        <v>187</v>
      </c>
      <c r="B12" s="541"/>
      <c r="D12" s="554" t="s">
        <v>188</v>
      </c>
      <c r="E12" s="555"/>
      <c r="F12" s="556">
        <f>F10/F11</f>
        <v>16.770833333333332</v>
      </c>
      <c r="G12" s="556"/>
      <c r="H12" s="556"/>
      <c r="J12" t="s">
        <v>189</v>
      </c>
      <c r="K12" s="45">
        <v>60000</v>
      </c>
      <c r="L12" s="45">
        <f>K12*$K$36</f>
        <v>6600</v>
      </c>
      <c r="M12" s="45">
        <v>5000</v>
      </c>
      <c r="N12" s="45">
        <v>3000</v>
      </c>
      <c r="O12" s="122" t="s">
        <v>162</v>
      </c>
      <c r="R12" s="46"/>
    </row>
    <row r="13" spans="1:18" x14ac:dyDescent="0.25">
      <c r="A13" t="s">
        <v>178</v>
      </c>
      <c r="B13" s="41">
        <v>1</v>
      </c>
      <c r="F13" s="2"/>
      <c r="G13" s="2"/>
      <c r="H13" s="2"/>
      <c r="J13" t="s">
        <v>190</v>
      </c>
      <c r="K13" s="45">
        <v>60000</v>
      </c>
      <c r="L13" s="45">
        <f>K13*$K$36</f>
        <v>6600</v>
      </c>
      <c r="M13" s="45">
        <v>5000</v>
      </c>
      <c r="N13" s="45">
        <v>3000</v>
      </c>
      <c r="O13" s="122" t="s">
        <v>186</v>
      </c>
      <c r="R13" s="46"/>
    </row>
    <row r="14" spans="1:18" x14ac:dyDescent="0.25">
      <c r="A14" t="s">
        <v>181</v>
      </c>
      <c r="B14" s="128">
        <f>B13</f>
        <v>1</v>
      </c>
      <c r="F14" s="2"/>
      <c r="G14" s="2"/>
      <c r="H14" s="2"/>
      <c r="R14" s="46"/>
    </row>
    <row r="15" spans="1:18" x14ac:dyDescent="0.25">
      <c r="F15" s="2"/>
      <c r="G15" s="2"/>
      <c r="H15" s="2"/>
      <c r="J15" s="29" t="s">
        <v>191</v>
      </c>
      <c r="K15" s="29" t="s">
        <v>154</v>
      </c>
      <c r="L15" s="29" t="s">
        <v>155</v>
      </c>
      <c r="M15" s="29" t="s">
        <v>156</v>
      </c>
      <c r="N15" s="29" t="s">
        <v>157</v>
      </c>
      <c r="O15" s="119" t="s">
        <v>158</v>
      </c>
      <c r="R15" s="46"/>
    </row>
    <row r="16" spans="1:18" x14ac:dyDescent="0.25">
      <c r="A16" s="541" t="s">
        <v>192</v>
      </c>
      <c r="B16" s="541"/>
      <c r="J16" t="s">
        <v>193</v>
      </c>
      <c r="K16" s="45">
        <v>180000</v>
      </c>
      <c r="L16" s="45">
        <f>K16*$K$36</f>
        <v>19800</v>
      </c>
      <c r="M16" s="45">
        <v>5000</v>
      </c>
      <c r="N16" s="45">
        <v>3000</v>
      </c>
      <c r="O16" s="122" t="s">
        <v>186</v>
      </c>
      <c r="R16" s="46"/>
    </row>
    <row r="17" spans="1:18" x14ac:dyDescent="0.25">
      <c r="A17" t="s">
        <v>178</v>
      </c>
      <c r="B17" s="41">
        <v>2</v>
      </c>
      <c r="J17" t="s">
        <v>194</v>
      </c>
      <c r="K17" s="45">
        <v>150000</v>
      </c>
      <c r="L17" s="45">
        <f>K17*$K$36</f>
        <v>16500</v>
      </c>
      <c r="M17" s="45">
        <v>5000</v>
      </c>
      <c r="N17" s="45">
        <v>3000</v>
      </c>
      <c r="O17" s="122" t="s">
        <v>186</v>
      </c>
      <c r="R17" s="46"/>
    </row>
    <row r="18" spans="1:18" x14ac:dyDescent="0.25">
      <c r="A18" t="s">
        <v>181</v>
      </c>
      <c r="B18" s="128">
        <f>B17</f>
        <v>2</v>
      </c>
      <c r="J18" t="s">
        <v>195</v>
      </c>
      <c r="K18" s="45">
        <v>100000</v>
      </c>
      <c r="L18" s="45">
        <f>K18*$K$36</f>
        <v>11000</v>
      </c>
      <c r="M18" s="45">
        <v>5000</v>
      </c>
      <c r="N18" s="45">
        <v>3000</v>
      </c>
      <c r="O18" s="122" t="s">
        <v>186</v>
      </c>
      <c r="R18" s="46"/>
    </row>
    <row r="19" spans="1:18" x14ac:dyDescent="0.25">
      <c r="J19" t="s">
        <v>196</v>
      </c>
      <c r="K19" s="45">
        <v>110000</v>
      </c>
      <c r="L19" s="45">
        <f>K19*$K$36</f>
        <v>12100</v>
      </c>
      <c r="M19" s="45">
        <v>5000</v>
      </c>
      <c r="N19" s="45">
        <v>3000</v>
      </c>
      <c r="O19" s="122" t="s">
        <v>186</v>
      </c>
      <c r="R19" s="46"/>
    </row>
    <row r="20" spans="1:18" x14ac:dyDescent="0.25">
      <c r="A20" s="541" t="s">
        <v>197</v>
      </c>
      <c r="B20" s="541"/>
      <c r="R20" s="46"/>
    </row>
    <row r="21" spans="1:18" x14ac:dyDescent="0.25">
      <c r="A21" t="s">
        <v>178</v>
      </c>
      <c r="B21" s="250">
        <v>0.5</v>
      </c>
      <c r="J21" s="29" t="s">
        <v>198</v>
      </c>
      <c r="K21" s="29" t="s">
        <v>154</v>
      </c>
      <c r="L21" s="129"/>
      <c r="M21" s="129"/>
      <c r="N21" s="129"/>
      <c r="O21" s="119" t="s">
        <v>158</v>
      </c>
      <c r="R21" s="46"/>
    </row>
    <row r="22" spans="1:18" x14ac:dyDescent="0.25">
      <c r="A22" t="s">
        <v>181</v>
      </c>
      <c r="B22" s="251">
        <f>B21</f>
        <v>0.5</v>
      </c>
      <c r="J22" t="s">
        <v>199</v>
      </c>
      <c r="K22" s="45">
        <v>60000</v>
      </c>
      <c r="L22" s="129"/>
      <c r="M22" s="129"/>
      <c r="N22" s="129"/>
      <c r="O22" s="122" t="s">
        <v>186</v>
      </c>
      <c r="R22" s="46"/>
    </row>
    <row r="23" spans="1:18" x14ac:dyDescent="0.25">
      <c r="J23" t="s">
        <v>200</v>
      </c>
      <c r="K23" s="45">
        <v>60000</v>
      </c>
      <c r="L23" s="129"/>
      <c r="M23" s="129"/>
      <c r="N23" s="129"/>
      <c r="O23" s="122" t="s">
        <v>186</v>
      </c>
      <c r="R23" s="46"/>
    </row>
    <row r="24" spans="1:18" x14ac:dyDescent="0.25">
      <c r="A24" s="541" t="s">
        <v>201</v>
      </c>
      <c r="B24" s="541"/>
      <c r="R24" s="46"/>
    </row>
    <row r="25" spans="1:18" x14ac:dyDescent="0.25">
      <c r="A25" t="s">
        <v>178</v>
      </c>
      <c r="B25" s="250">
        <v>0.25</v>
      </c>
      <c r="J25" s="29" t="s">
        <v>202</v>
      </c>
      <c r="K25" s="29" t="s">
        <v>154</v>
      </c>
      <c r="L25" s="558" t="s">
        <v>203</v>
      </c>
      <c r="M25" s="558"/>
      <c r="N25" s="558"/>
      <c r="O25" s="119" t="s">
        <v>158</v>
      </c>
      <c r="R25" s="46"/>
    </row>
    <row r="26" spans="1:18" x14ac:dyDescent="0.25">
      <c r="A26" t="s">
        <v>181</v>
      </c>
      <c r="B26" s="251">
        <f>B25</f>
        <v>0.25</v>
      </c>
      <c r="J26" t="s">
        <v>204</v>
      </c>
      <c r="L26" s="130"/>
      <c r="M26" s="131"/>
      <c r="N26" s="130"/>
      <c r="O26" s="122" t="s">
        <v>162</v>
      </c>
      <c r="R26" s="46"/>
    </row>
    <row r="27" spans="1:18" x14ac:dyDescent="0.25">
      <c r="J27" t="s">
        <v>205</v>
      </c>
      <c r="K27" s="45">
        <v>100000</v>
      </c>
      <c r="L27" s="130"/>
      <c r="M27" s="131">
        <v>3600</v>
      </c>
      <c r="N27" s="130"/>
      <c r="O27" s="122" t="s">
        <v>162</v>
      </c>
      <c r="R27" s="46"/>
    </row>
    <row r="28" spans="1:18" x14ac:dyDescent="0.25">
      <c r="J28" t="s">
        <v>206</v>
      </c>
      <c r="K28" s="45">
        <v>20000</v>
      </c>
      <c r="L28" s="130"/>
      <c r="M28" s="131">
        <v>2800</v>
      </c>
      <c r="N28" s="130"/>
      <c r="O28" s="122" t="s">
        <v>162</v>
      </c>
      <c r="R28" s="46"/>
    </row>
    <row r="29" spans="1:18" x14ac:dyDescent="0.25">
      <c r="J29" t="s">
        <v>207</v>
      </c>
      <c r="K29" s="45">
        <v>40000</v>
      </c>
      <c r="L29" s="130"/>
      <c r="M29" s="131">
        <v>0</v>
      </c>
      <c r="N29" s="130"/>
      <c r="O29" s="122" t="s">
        <v>162</v>
      </c>
      <c r="R29" s="46"/>
    </row>
    <row r="30" spans="1:18" x14ac:dyDescent="0.25">
      <c r="B30" s="121"/>
      <c r="J30" t="s">
        <v>208</v>
      </c>
      <c r="K30" s="45">
        <v>50000</v>
      </c>
      <c r="L30" s="130"/>
      <c r="M30" s="131">
        <v>3200</v>
      </c>
      <c r="N30" s="130"/>
      <c r="O30" s="122" t="s">
        <v>186</v>
      </c>
      <c r="R30" s="46"/>
    </row>
    <row r="31" spans="1:18" x14ac:dyDescent="0.25">
      <c r="B31" s="121"/>
      <c r="J31" t="s">
        <v>209</v>
      </c>
      <c r="K31" s="45">
        <v>48000</v>
      </c>
      <c r="L31" s="130"/>
      <c r="M31" s="131">
        <v>400</v>
      </c>
      <c r="N31" s="130"/>
      <c r="O31" s="122" t="s">
        <v>186</v>
      </c>
      <c r="R31" s="46"/>
    </row>
    <row r="32" spans="1:18" x14ac:dyDescent="0.25">
      <c r="J32" t="s">
        <v>210</v>
      </c>
      <c r="K32" s="45">
        <v>120000</v>
      </c>
      <c r="L32" s="130"/>
      <c r="M32" s="131">
        <v>18000</v>
      </c>
      <c r="N32" s="130"/>
      <c r="O32" s="122" t="s">
        <v>162</v>
      </c>
      <c r="R32" s="46"/>
    </row>
    <row r="33" spans="2:15" x14ac:dyDescent="0.25">
      <c r="J33" s="132" t="s">
        <v>211</v>
      </c>
      <c r="K33" s="133">
        <v>12000</v>
      </c>
      <c r="L33" s="130"/>
      <c r="M33" s="134">
        <v>4000</v>
      </c>
      <c r="N33" s="130"/>
      <c r="O33" s="122" t="s">
        <v>162</v>
      </c>
    </row>
    <row r="35" spans="2:15" x14ac:dyDescent="0.25">
      <c r="J35" s="528" t="s">
        <v>212</v>
      </c>
      <c r="K35" s="530"/>
      <c r="L35" s="129"/>
      <c r="M35" s="129"/>
      <c r="N35" s="129"/>
      <c r="O35" s="122"/>
    </row>
    <row r="36" spans="2:15" x14ac:dyDescent="0.25">
      <c r="B36" s="121"/>
      <c r="J36" t="s">
        <v>213</v>
      </c>
      <c r="K36" s="121">
        <v>0.11</v>
      </c>
      <c r="L36" s="129"/>
      <c r="M36" s="129"/>
      <c r="N36" s="129"/>
      <c r="O36" s="122"/>
    </row>
    <row r="37" spans="2:15" x14ac:dyDescent="0.25">
      <c r="B37" s="121"/>
      <c r="J37" t="s">
        <v>214</v>
      </c>
      <c r="K37" s="121">
        <v>0.1</v>
      </c>
      <c r="L37" s="129"/>
      <c r="M37" s="129"/>
      <c r="N37" s="129"/>
      <c r="O37" s="122"/>
    </row>
    <row r="38" spans="2:15" x14ac:dyDescent="0.25">
      <c r="J38" t="s">
        <v>215</v>
      </c>
      <c r="K38" s="135">
        <v>250000</v>
      </c>
      <c r="L38" s="129"/>
      <c r="M38" s="129"/>
      <c r="N38" s="129"/>
      <c r="O38" s="122"/>
    </row>
    <row r="39" spans="2:15" x14ac:dyDescent="0.25">
      <c r="J39" t="s">
        <v>216</v>
      </c>
      <c r="K39" s="121">
        <v>0.05</v>
      </c>
      <c r="L39" s="129"/>
      <c r="M39" s="129"/>
      <c r="N39" s="129"/>
      <c r="O39" s="122"/>
    </row>
    <row r="40" spans="2:15" x14ac:dyDescent="0.25">
      <c r="J40" t="s">
        <v>217</v>
      </c>
      <c r="K40" s="136">
        <v>5</v>
      </c>
      <c r="L40" s="129"/>
      <c r="M40" s="129"/>
      <c r="N40" s="129"/>
      <c r="O40" s="122"/>
    </row>
    <row r="41" spans="2:15" x14ac:dyDescent="0.25">
      <c r="J41" t="s">
        <v>218</v>
      </c>
      <c r="K41" s="41">
        <v>10</v>
      </c>
      <c r="L41" s="129"/>
      <c r="M41" s="129"/>
      <c r="N41" s="129"/>
      <c r="O41" s="122"/>
    </row>
    <row r="42" spans="2:15" x14ac:dyDescent="0.25">
      <c r="J42" t="s">
        <v>219</v>
      </c>
      <c r="K42" s="135">
        <v>2000</v>
      </c>
      <c r="L42" s="129"/>
      <c r="M42" s="129"/>
      <c r="N42" s="129"/>
      <c r="O42" s="122"/>
    </row>
    <row r="44" spans="2:15" x14ac:dyDescent="0.25">
      <c r="J44" s="29" t="s">
        <v>140</v>
      </c>
      <c r="K44" s="29" t="s">
        <v>122</v>
      </c>
      <c r="L44" s="29" t="s">
        <v>123</v>
      </c>
      <c r="M44" s="29" t="s">
        <v>124</v>
      </c>
      <c r="N44" s="29" t="s">
        <v>125</v>
      </c>
      <c r="O44" s="29" t="s">
        <v>126</v>
      </c>
    </row>
    <row r="45" spans="2:15" x14ac:dyDescent="0.25">
      <c r="J45" t="s">
        <v>220</v>
      </c>
      <c r="K45" s="121">
        <v>0</v>
      </c>
      <c r="L45" s="121">
        <v>4</v>
      </c>
      <c r="M45" s="121">
        <v>9</v>
      </c>
      <c r="N45" s="121">
        <v>15</v>
      </c>
      <c r="O45" s="137">
        <v>22</v>
      </c>
    </row>
    <row r="47" spans="2:15" x14ac:dyDescent="0.25">
      <c r="J47" s="29" t="s">
        <v>221</v>
      </c>
      <c r="K47" s="29" t="s">
        <v>122</v>
      </c>
      <c r="L47" s="29" t="s">
        <v>123</v>
      </c>
      <c r="M47" s="29" t="s">
        <v>124</v>
      </c>
      <c r="N47" s="29" t="s">
        <v>125</v>
      </c>
      <c r="O47" s="29" t="s">
        <v>126</v>
      </c>
    </row>
    <row r="48" spans="2:15" x14ac:dyDescent="0.25">
      <c r="J48" t="s">
        <v>220</v>
      </c>
      <c r="K48" s="121">
        <v>0</v>
      </c>
      <c r="L48" s="121">
        <v>0.25</v>
      </c>
      <c r="M48" s="121">
        <v>0.6</v>
      </c>
      <c r="N48" s="121">
        <v>1.3</v>
      </c>
      <c r="O48" s="121">
        <v>2</v>
      </c>
    </row>
  </sheetData>
  <mergeCells count="21">
    <mergeCell ref="L25:N25"/>
    <mergeCell ref="J35:K35"/>
    <mergeCell ref="A12:B12"/>
    <mergeCell ref="D12:E12"/>
    <mergeCell ref="F12:H12"/>
    <mergeCell ref="A16:B16"/>
    <mergeCell ref="A20:B20"/>
    <mergeCell ref="A24:B24"/>
    <mergeCell ref="D8:E8"/>
    <mergeCell ref="D9:E9"/>
    <mergeCell ref="D10:E10"/>
    <mergeCell ref="F10:H10"/>
    <mergeCell ref="D11:E11"/>
    <mergeCell ref="F11:H11"/>
    <mergeCell ref="A7:B7"/>
    <mergeCell ref="D7:E7"/>
    <mergeCell ref="A1:B1"/>
    <mergeCell ref="D1:H1"/>
    <mergeCell ref="J1:O1"/>
    <mergeCell ref="A2:B2"/>
    <mergeCell ref="A6:B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79998168889431442"/>
  </sheetPr>
  <dimension ref="A1:BO261"/>
  <sheetViews>
    <sheetView workbookViewId="0">
      <pane xSplit="3" ySplit="2" topLeftCell="D9" activePane="bottomRight" state="frozen"/>
      <selection pane="topRight"/>
      <selection pane="bottomLeft"/>
      <selection pane="bottomRight" activeCell="R32" sqref="R32"/>
    </sheetView>
  </sheetViews>
  <sheetFormatPr defaultColWidth="9.140625" defaultRowHeight="15" x14ac:dyDescent="0.25"/>
  <cols>
    <col min="1" max="1" width="31" style="185" bestFit="1" customWidth="1"/>
    <col min="2" max="2" width="13.7109375" style="160" bestFit="1" customWidth="1"/>
    <col min="3" max="3" width="0" style="61" hidden="1" customWidth="1"/>
    <col min="4" max="6" width="14.28515625" style="61" bestFit="1" customWidth="1"/>
    <col min="7" max="7" width="15.28515625" style="61" bestFit="1" customWidth="1"/>
    <col min="8" max="10" width="15.28515625" style="41" bestFit="1" customWidth="1"/>
    <col min="11" max="13" width="15.85546875" style="41" bestFit="1" customWidth="1"/>
    <col min="14" max="29" width="16.28515625" style="41" bestFit="1" customWidth="1"/>
    <col min="30" max="67" width="18" style="41" bestFit="1" customWidth="1"/>
    <col min="68" max="16384" width="9.140625" style="41"/>
  </cols>
  <sheetData>
    <row r="1" spans="1:67" s="55" customFormat="1" x14ac:dyDescent="0.25">
      <c r="A1" s="138" t="s">
        <v>116</v>
      </c>
      <c r="B1" s="139"/>
      <c r="C1" s="559" t="s">
        <v>222</v>
      </c>
      <c r="D1" s="559"/>
      <c r="E1" s="559"/>
      <c r="F1" s="559"/>
      <c r="G1" s="559"/>
      <c r="H1" s="560" t="s">
        <v>223</v>
      </c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1"/>
      <c r="AL1" s="561"/>
      <c r="AM1" s="561"/>
      <c r="AN1" s="561"/>
      <c r="AO1" s="561"/>
      <c r="AP1" s="561"/>
      <c r="AQ1" s="561"/>
      <c r="AR1" s="561"/>
      <c r="AS1" s="561"/>
      <c r="AT1" s="561"/>
      <c r="AU1" s="561"/>
      <c r="AV1" s="561"/>
      <c r="AW1" s="561"/>
      <c r="AX1" s="561"/>
      <c r="AY1" s="561"/>
      <c r="AZ1" s="561"/>
      <c r="BA1" s="561"/>
      <c r="BB1" s="561"/>
      <c r="BC1" s="561"/>
      <c r="BD1" s="561"/>
      <c r="BE1" s="561"/>
      <c r="BF1" s="561"/>
      <c r="BG1" s="561"/>
      <c r="BH1" s="561"/>
      <c r="BI1" s="561"/>
      <c r="BJ1" s="561"/>
      <c r="BK1" s="561"/>
      <c r="BL1" s="561"/>
      <c r="BM1" s="561"/>
      <c r="BN1" s="561"/>
      <c r="BO1" s="562"/>
    </row>
    <row r="2" spans="1:67" s="150" customFormat="1" ht="15.75" thickBot="1" x14ac:dyDescent="0.3">
      <c r="A2" s="140" t="s">
        <v>224</v>
      </c>
      <c r="B2" s="141"/>
      <c r="C2" s="142">
        <v>0</v>
      </c>
      <c r="D2" s="143">
        <v>-4</v>
      </c>
      <c r="E2" s="143">
        <v>-3</v>
      </c>
      <c r="F2" s="143">
        <v>-2</v>
      </c>
      <c r="G2" s="143">
        <v>-1</v>
      </c>
      <c r="H2" s="144">
        <v>1</v>
      </c>
      <c r="I2" s="145">
        <v>2</v>
      </c>
      <c r="J2" s="145">
        <v>3</v>
      </c>
      <c r="K2" s="144">
        <v>4</v>
      </c>
      <c r="L2" s="145">
        <v>5</v>
      </c>
      <c r="M2" s="145">
        <v>6</v>
      </c>
      <c r="N2" s="144">
        <v>7</v>
      </c>
      <c r="O2" s="145">
        <v>8</v>
      </c>
      <c r="P2" s="145">
        <v>9</v>
      </c>
      <c r="Q2" s="145">
        <v>10</v>
      </c>
      <c r="R2" s="145">
        <v>11</v>
      </c>
      <c r="S2" s="145">
        <v>12</v>
      </c>
      <c r="T2" s="146">
        <v>13</v>
      </c>
      <c r="U2" s="147">
        <v>14</v>
      </c>
      <c r="V2" s="147">
        <v>15</v>
      </c>
      <c r="W2" s="147">
        <v>16</v>
      </c>
      <c r="X2" s="147">
        <v>17</v>
      </c>
      <c r="Y2" s="147">
        <v>18</v>
      </c>
      <c r="Z2" s="146">
        <v>19</v>
      </c>
      <c r="AA2" s="147">
        <v>20</v>
      </c>
      <c r="AB2" s="147">
        <v>21</v>
      </c>
      <c r="AC2" s="147">
        <v>22</v>
      </c>
      <c r="AD2" s="147">
        <v>23</v>
      </c>
      <c r="AE2" s="147">
        <v>24</v>
      </c>
      <c r="AF2" s="148">
        <v>25</v>
      </c>
      <c r="AG2" s="149">
        <v>26</v>
      </c>
      <c r="AH2" s="149">
        <v>27</v>
      </c>
      <c r="AI2" s="149">
        <v>28</v>
      </c>
      <c r="AJ2" s="149">
        <v>29</v>
      </c>
      <c r="AK2" s="149">
        <v>30</v>
      </c>
      <c r="AL2" s="148">
        <v>31</v>
      </c>
      <c r="AM2" s="149">
        <v>32</v>
      </c>
      <c r="AN2" s="149">
        <v>33</v>
      </c>
      <c r="AO2" s="149">
        <v>34</v>
      </c>
      <c r="AP2" s="149">
        <v>35</v>
      </c>
      <c r="AQ2" s="149">
        <v>36</v>
      </c>
      <c r="AR2" s="147">
        <v>37</v>
      </c>
      <c r="AS2" s="147">
        <v>38</v>
      </c>
      <c r="AT2" s="147">
        <v>39</v>
      </c>
      <c r="AU2" s="147">
        <v>40</v>
      </c>
      <c r="AV2" s="147">
        <v>41</v>
      </c>
      <c r="AW2" s="147">
        <v>42</v>
      </c>
      <c r="AX2" s="147">
        <v>43</v>
      </c>
      <c r="AY2" s="147">
        <v>44</v>
      </c>
      <c r="AZ2" s="147">
        <v>45</v>
      </c>
      <c r="BA2" s="147">
        <v>46</v>
      </c>
      <c r="BB2" s="147">
        <v>47</v>
      </c>
      <c r="BC2" s="147">
        <v>48</v>
      </c>
      <c r="BD2" s="149">
        <v>49</v>
      </c>
      <c r="BE2" s="149">
        <v>50</v>
      </c>
      <c r="BF2" s="149">
        <v>51</v>
      </c>
      <c r="BG2" s="149">
        <v>52</v>
      </c>
      <c r="BH2" s="149">
        <v>53</v>
      </c>
      <c r="BI2" s="149">
        <v>54</v>
      </c>
      <c r="BJ2" s="149">
        <v>55</v>
      </c>
      <c r="BK2" s="149">
        <v>56</v>
      </c>
      <c r="BL2" s="149">
        <v>57</v>
      </c>
      <c r="BM2" s="149">
        <v>58</v>
      </c>
      <c r="BN2" s="149">
        <v>59</v>
      </c>
      <c r="BO2" s="149">
        <v>60</v>
      </c>
    </row>
    <row r="3" spans="1:67" s="153" customFormat="1" ht="16.5" thickTop="1" thickBot="1" x14ac:dyDescent="0.3">
      <c r="A3" s="151"/>
      <c r="B3" s="152"/>
      <c r="G3" s="154"/>
      <c r="J3" s="154"/>
      <c r="M3" s="154"/>
      <c r="P3" s="154"/>
      <c r="S3" s="154"/>
      <c r="V3" s="154"/>
      <c r="Y3" s="154"/>
      <c r="AB3" s="154"/>
      <c r="AE3" s="154"/>
      <c r="AH3" s="154"/>
      <c r="AK3" s="154"/>
      <c r="AN3" s="154"/>
      <c r="AQ3" s="154"/>
      <c r="AT3" s="154"/>
      <c r="AW3" s="154"/>
      <c r="AZ3" s="154"/>
      <c r="BC3" s="154"/>
      <c r="BF3" s="154"/>
      <c r="BI3" s="154"/>
      <c r="BL3" s="154"/>
      <c r="BO3" s="154"/>
    </row>
    <row r="4" spans="1:67" s="157" customFormat="1" ht="25.5" customHeight="1" thickBot="1" x14ac:dyDescent="0.35">
      <c r="A4" s="155" t="s">
        <v>225</v>
      </c>
      <c r="B4" s="156"/>
      <c r="G4" s="158"/>
      <c r="J4" s="158"/>
      <c r="M4" s="158"/>
      <c r="P4" s="158"/>
      <c r="S4" s="158"/>
      <c r="V4" s="158"/>
      <c r="Y4" s="158"/>
      <c r="AB4" s="158"/>
      <c r="AE4" s="158"/>
      <c r="AH4" s="158"/>
      <c r="AK4" s="158"/>
      <c r="AN4" s="158"/>
      <c r="AQ4" s="158"/>
      <c r="AT4" s="158"/>
      <c r="AW4" s="158"/>
      <c r="AZ4" s="158"/>
      <c r="BC4" s="158"/>
      <c r="BF4" s="158"/>
      <c r="BI4" s="158"/>
      <c r="BL4" s="158"/>
      <c r="BO4" s="158"/>
    </row>
    <row r="6" spans="1:67" s="162" customFormat="1" x14ac:dyDescent="0.25">
      <c r="A6" s="159" t="s">
        <v>226</v>
      </c>
      <c r="B6" s="160"/>
      <c r="C6" s="161"/>
      <c r="D6" s="161"/>
      <c r="E6" s="161"/>
      <c r="F6" s="161"/>
      <c r="G6" s="161"/>
    </row>
    <row r="7" spans="1:67" x14ac:dyDescent="0.25">
      <c r="A7" s="163" t="s">
        <v>227</v>
      </c>
      <c r="B7" s="164"/>
      <c r="D7" s="165">
        <v>1</v>
      </c>
      <c r="E7" s="165">
        <v>0</v>
      </c>
      <c r="F7" s="165">
        <v>0</v>
      </c>
      <c r="G7" s="165">
        <v>0</v>
      </c>
      <c r="H7" s="166">
        <f>ROUNDUP(Assumptions!$B$3,0)</f>
        <v>1</v>
      </c>
      <c r="I7" s="166">
        <f>ROUNDUP(Assumptions!$B$3,0)</f>
        <v>1</v>
      </c>
      <c r="J7" s="166">
        <f>ROUNDUP(Assumptions!$B$3,0)</f>
        <v>1</v>
      </c>
      <c r="K7" s="166">
        <f>ROUNDUP(Assumptions!$B$3,0)</f>
        <v>1</v>
      </c>
      <c r="L7" s="166">
        <f>ROUNDUP(Assumptions!$B$3,0)</f>
        <v>1</v>
      </c>
      <c r="M7" s="166">
        <f>ROUNDUP(Assumptions!$B$3,0)</f>
        <v>1</v>
      </c>
      <c r="N7" s="166">
        <f>ROUNDUP(Assumptions!$B$3,0)</f>
        <v>1</v>
      </c>
      <c r="O7" s="166">
        <f>ROUNDUP(Assumptions!$B$3,0)</f>
        <v>1</v>
      </c>
      <c r="P7" s="166">
        <f>ROUNDUP(Assumptions!$B$3,0)</f>
        <v>1</v>
      </c>
      <c r="Q7" s="166">
        <f>ROUNDUP(Assumptions!$B$3,0)</f>
        <v>1</v>
      </c>
      <c r="R7" s="166">
        <f>ROUNDUP(Assumptions!$B$3,0)</f>
        <v>1</v>
      </c>
      <c r="S7" s="166">
        <f>ROUNDUP(Assumptions!$B$3,0)</f>
        <v>1</v>
      </c>
      <c r="T7" s="166">
        <f>ROUNDUP(Assumptions!$B$3,0)</f>
        <v>1</v>
      </c>
      <c r="U7" s="166">
        <f>ROUNDUP(Assumptions!$B$3,0)</f>
        <v>1</v>
      </c>
      <c r="V7" s="166">
        <f>ROUNDUP(Assumptions!$B$3,0)</f>
        <v>1</v>
      </c>
      <c r="W7" s="166">
        <f>ROUNDUP(Assumptions!$B$3,0)</f>
        <v>1</v>
      </c>
      <c r="X7" s="166">
        <f>ROUNDUP(Assumptions!$B$3,0)</f>
        <v>1</v>
      </c>
      <c r="Y7" s="166">
        <f>ROUNDUP(Assumptions!$B$3,0)</f>
        <v>1</v>
      </c>
      <c r="Z7" s="166">
        <f>ROUNDUP(Assumptions!$B$3,0)</f>
        <v>1</v>
      </c>
      <c r="AA7" s="166">
        <f>ROUNDUP(Assumptions!$B$3,0)</f>
        <v>1</v>
      </c>
      <c r="AB7" s="166">
        <f>ROUNDUP(Assumptions!$B$3,0)</f>
        <v>1</v>
      </c>
      <c r="AC7" s="166">
        <f>ROUNDUP(Assumptions!$B$3,0)</f>
        <v>1</v>
      </c>
      <c r="AD7" s="166">
        <f>ROUNDUP(Assumptions!$B$3,0)</f>
        <v>1</v>
      </c>
      <c r="AE7" s="166">
        <f>ROUNDUP(Assumptions!$B$3,0)</f>
        <v>1</v>
      </c>
      <c r="AF7" s="166">
        <f>ROUNDUP(Assumptions!$B$3,0)</f>
        <v>1</v>
      </c>
      <c r="AG7" s="166">
        <f>ROUNDUP(Assumptions!$B$3,0)</f>
        <v>1</v>
      </c>
      <c r="AH7" s="166">
        <f>ROUNDUP(Assumptions!$B$3,0)</f>
        <v>1</v>
      </c>
      <c r="AI7" s="166">
        <f>ROUNDUP(Assumptions!$B$3,0)</f>
        <v>1</v>
      </c>
      <c r="AJ7" s="166">
        <f>ROUNDUP(Assumptions!$B$3,0)</f>
        <v>1</v>
      </c>
      <c r="AK7" s="166">
        <f>ROUNDUP(Assumptions!$B$3,0)</f>
        <v>1</v>
      </c>
      <c r="AL7" s="166">
        <f>ROUNDUP(Assumptions!$B$3,0)</f>
        <v>1</v>
      </c>
      <c r="AM7" s="166">
        <f>ROUNDUP(Assumptions!$B$3,0)</f>
        <v>1</v>
      </c>
      <c r="AN7" s="166">
        <f>ROUNDUP(Assumptions!$B$3,0)</f>
        <v>1</v>
      </c>
      <c r="AO7" s="166">
        <f>ROUNDUP(Assumptions!$B$3,0)</f>
        <v>1</v>
      </c>
      <c r="AP7" s="166">
        <f>ROUNDUP(Assumptions!$B$3,0)</f>
        <v>1</v>
      </c>
      <c r="AQ7" s="166">
        <f>ROUNDUP(Assumptions!$B$3,0)</f>
        <v>1</v>
      </c>
      <c r="AR7" s="166">
        <f>ROUNDUP(Assumptions!$B$3,0)</f>
        <v>1</v>
      </c>
      <c r="AS7" s="166">
        <f>ROUNDUP(Assumptions!$B$3,0)</f>
        <v>1</v>
      </c>
      <c r="AT7" s="166">
        <f>ROUNDUP(Assumptions!$B$3,0)</f>
        <v>1</v>
      </c>
      <c r="AU7" s="166">
        <f>ROUNDUP(Assumptions!$B$3,0)</f>
        <v>1</v>
      </c>
      <c r="AV7" s="166">
        <f>ROUNDUP(Assumptions!$B$3,0)</f>
        <v>1</v>
      </c>
      <c r="AW7" s="166">
        <f>ROUNDUP(Assumptions!$B$3,0)</f>
        <v>1</v>
      </c>
      <c r="AX7" s="166">
        <f>ROUNDUP(Assumptions!$B$3,0)</f>
        <v>1</v>
      </c>
      <c r="AY7" s="166">
        <f>ROUNDUP(Assumptions!$B$3,0)</f>
        <v>1</v>
      </c>
      <c r="AZ7" s="166">
        <f>ROUNDUP(Assumptions!$B$3,0)</f>
        <v>1</v>
      </c>
      <c r="BA7" s="166">
        <f>ROUNDUP(Assumptions!$B$3,0)</f>
        <v>1</v>
      </c>
      <c r="BB7" s="166">
        <f>ROUNDUP(Assumptions!$B$3,0)</f>
        <v>1</v>
      </c>
      <c r="BC7" s="166">
        <f>ROUNDUP(Assumptions!$B$3,0)</f>
        <v>1</v>
      </c>
      <c r="BD7" s="166">
        <f>ROUNDUP(Assumptions!$B$3,0)</f>
        <v>1</v>
      </c>
      <c r="BE7" s="166">
        <f>ROUNDUP(Assumptions!$B$3,0)</f>
        <v>1</v>
      </c>
      <c r="BF7" s="166">
        <f>ROUNDUP(Assumptions!$B$3,0)</f>
        <v>1</v>
      </c>
      <c r="BG7" s="166">
        <f>ROUNDUP(Assumptions!$B$3,0)</f>
        <v>1</v>
      </c>
      <c r="BH7" s="166">
        <f>ROUNDUP(Assumptions!$B$3,0)</f>
        <v>1</v>
      </c>
      <c r="BI7" s="166">
        <f>ROUNDUP(Assumptions!$B$3,0)</f>
        <v>1</v>
      </c>
      <c r="BJ7" s="166">
        <f>ROUNDUP(Assumptions!$B$3,0)</f>
        <v>1</v>
      </c>
      <c r="BK7" s="166">
        <f>ROUNDUP(Assumptions!$B$3,0)</f>
        <v>1</v>
      </c>
      <c r="BL7" s="166">
        <f>ROUNDUP(Assumptions!$B$3,0)</f>
        <v>1</v>
      </c>
      <c r="BM7" s="166">
        <f>ROUNDUP(Assumptions!$B$3,0)</f>
        <v>1</v>
      </c>
      <c r="BN7" s="166">
        <f>ROUNDUP(Assumptions!$B$3,0)</f>
        <v>1</v>
      </c>
      <c r="BO7" s="166">
        <f>ROUNDUP(Assumptions!$B$3,0)</f>
        <v>1</v>
      </c>
    </row>
    <row r="8" spans="1:67" x14ac:dyDescent="0.25">
      <c r="A8" s="163" t="s">
        <v>228</v>
      </c>
      <c r="B8" s="164"/>
      <c r="D8" s="167">
        <v>0</v>
      </c>
      <c r="E8" s="167">
        <v>0</v>
      </c>
      <c r="F8" s="167">
        <v>0</v>
      </c>
      <c r="G8" s="167">
        <v>0</v>
      </c>
      <c r="H8" s="168">
        <f>ROUNDUP(Assumptions!$B$4,0)</f>
        <v>0</v>
      </c>
      <c r="I8" s="168">
        <f>ROUNDUP(Assumptions!$B$4,0)</f>
        <v>0</v>
      </c>
      <c r="J8" s="168">
        <f>ROUNDUP(Assumptions!$B$4,0)</f>
        <v>0</v>
      </c>
      <c r="K8" s="168">
        <f>ROUNDUP(Assumptions!$B$4,0)</f>
        <v>0</v>
      </c>
      <c r="L8" s="168">
        <f>ROUNDUP(Assumptions!$B$4,0)</f>
        <v>0</v>
      </c>
      <c r="M8" s="168">
        <f>ROUNDUP(Assumptions!$B$4,0)</f>
        <v>0</v>
      </c>
      <c r="N8" s="168">
        <f>ROUNDUP(Assumptions!$B$4,0)</f>
        <v>0</v>
      </c>
      <c r="O8" s="168">
        <f>ROUNDUP(Assumptions!$B$4,0)</f>
        <v>0</v>
      </c>
      <c r="P8" s="168">
        <f>ROUNDUP(Assumptions!$B$4,0)</f>
        <v>0</v>
      </c>
      <c r="Q8" s="168">
        <f>ROUNDUP(Assumptions!$B$4,0)</f>
        <v>0</v>
      </c>
      <c r="R8" s="168">
        <f>ROUNDUP(Assumptions!$B$4,0)</f>
        <v>0</v>
      </c>
      <c r="S8" s="168">
        <f>ROUNDUP(Assumptions!$B$4,0)</f>
        <v>0</v>
      </c>
      <c r="T8" s="168">
        <f>ROUNDUP(Assumptions!$B$4,0)</f>
        <v>0</v>
      </c>
      <c r="U8" s="168">
        <f>ROUNDUP(Assumptions!$B$4,0)</f>
        <v>0</v>
      </c>
      <c r="V8" s="168">
        <f>ROUNDUP(Assumptions!$B$4,0)</f>
        <v>0</v>
      </c>
      <c r="W8" s="168">
        <f>ROUNDUP(Assumptions!$B$4,0)</f>
        <v>0</v>
      </c>
      <c r="X8" s="168">
        <f>ROUNDUP(Assumptions!$B$4,0)</f>
        <v>0</v>
      </c>
      <c r="Y8" s="168">
        <f>ROUNDUP(Assumptions!$B$4,0)</f>
        <v>0</v>
      </c>
      <c r="Z8" s="168">
        <f>ROUNDUP(Assumptions!$B$4,0)</f>
        <v>0</v>
      </c>
      <c r="AA8" s="168">
        <f>ROUNDUP(Assumptions!$B$4,0)</f>
        <v>0</v>
      </c>
      <c r="AB8" s="168">
        <f>ROUNDUP(Assumptions!$B$4,0)</f>
        <v>0</v>
      </c>
      <c r="AC8" s="168">
        <f>ROUNDUP(Assumptions!$B$4,0)</f>
        <v>0</v>
      </c>
      <c r="AD8" s="168">
        <f>ROUNDUP(Assumptions!$B$4,0)</f>
        <v>0</v>
      </c>
      <c r="AE8" s="168">
        <f>ROUNDUP(Assumptions!$B$4,0)</f>
        <v>0</v>
      </c>
      <c r="AF8" s="168">
        <f>ROUNDUP(Assumptions!$B$4,0)</f>
        <v>0</v>
      </c>
      <c r="AG8" s="168">
        <f>ROUNDUP(Assumptions!$B$4,0)</f>
        <v>0</v>
      </c>
      <c r="AH8" s="168">
        <f>ROUNDUP(Assumptions!$B$4,0)</f>
        <v>0</v>
      </c>
      <c r="AI8" s="168">
        <f>ROUNDUP(Assumptions!$B$4,0)</f>
        <v>0</v>
      </c>
      <c r="AJ8" s="168">
        <f>ROUNDUP(Assumptions!$B$4,0)</f>
        <v>0</v>
      </c>
      <c r="AK8" s="168">
        <f>ROUNDUP(Assumptions!$B$4,0)</f>
        <v>0</v>
      </c>
      <c r="AL8" s="168">
        <f>ROUNDUP(Assumptions!$B$4,0)</f>
        <v>0</v>
      </c>
      <c r="AM8" s="168">
        <f>ROUNDUP(Assumptions!$B$4,0)</f>
        <v>0</v>
      </c>
      <c r="AN8" s="168">
        <f>ROUNDUP(Assumptions!$B$4,0)</f>
        <v>0</v>
      </c>
      <c r="AO8" s="168">
        <f>ROUNDUP(Assumptions!$B$4,0)</f>
        <v>0</v>
      </c>
      <c r="AP8" s="168">
        <f>ROUNDUP(Assumptions!$B$4,0)</f>
        <v>0</v>
      </c>
      <c r="AQ8" s="168">
        <f>ROUNDUP(Assumptions!$B$4,0)</f>
        <v>0</v>
      </c>
      <c r="AR8" s="168">
        <f>ROUNDUP(Assumptions!$B$4,0)</f>
        <v>0</v>
      </c>
      <c r="AS8" s="168">
        <f>ROUNDUP(Assumptions!$B$4,0)</f>
        <v>0</v>
      </c>
      <c r="AT8" s="168">
        <f>ROUNDUP(Assumptions!$B$4,0)</f>
        <v>0</v>
      </c>
      <c r="AU8" s="168">
        <f>ROUNDUP(Assumptions!$B$4,0)</f>
        <v>0</v>
      </c>
      <c r="AV8" s="168">
        <f>ROUNDUP(Assumptions!$B$4,0)</f>
        <v>0</v>
      </c>
      <c r="AW8" s="168">
        <f>ROUNDUP(Assumptions!$B$4,0)</f>
        <v>0</v>
      </c>
      <c r="AX8" s="168">
        <f>ROUNDUP(Assumptions!$B$4,0)</f>
        <v>0</v>
      </c>
      <c r="AY8" s="168">
        <f>ROUNDUP(Assumptions!$B$4,0)</f>
        <v>0</v>
      </c>
      <c r="AZ8" s="168">
        <f>ROUNDUP(Assumptions!$B$4,0)</f>
        <v>0</v>
      </c>
      <c r="BA8" s="168">
        <f>ROUNDUP(Assumptions!$B$4,0)</f>
        <v>0</v>
      </c>
      <c r="BB8" s="168">
        <f>ROUNDUP(Assumptions!$B$4,0)</f>
        <v>0</v>
      </c>
      <c r="BC8" s="168">
        <f>ROUNDUP(Assumptions!$B$4,0)</f>
        <v>0</v>
      </c>
      <c r="BD8" s="168">
        <f>ROUNDUP(Assumptions!$B$4,0)</f>
        <v>0</v>
      </c>
      <c r="BE8" s="168">
        <f>ROUNDUP(Assumptions!$B$4,0)</f>
        <v>0</v>
      </c>
      <c r="BF8" s="168">
        <f>ROUNDUP(Assumptions!$B$4,0)</f>
        <v>0</v>
      </c>
      <c r="BG8" s="168">
        <f>ROUNDUP(Assumptions!$B$4,0)</f>
        <v>0</v>
      </c>
      <c r="BH8" s="168">
        <f>ROUNDUP(Assumptions!$B$4,0)</f>
        <v>0</v>
      </c>
      <c r="BI8" s="168">
        <f>ROUNDUP(Assumptions!$B$4,0)</f>
        <v>0</v>
      </c>
      <c r="BJ8" s="168">
        <f>ROUNDUP(Assumptions!$B$4,0)</f>
        <v>0</v>
      </c>
      <c r="BK8" s="168">
        <f>ROUNDUP(Assumptions!$B$4,0)</f>
        <v>0</v>
      </c>
      <c r="BL8" s="168">
        <f>ROUNDUP(Assumptions!$B$4,0)</f>
        <v>0</v>
      </c>
      <c r="BM8" s="168">
        <f>ROUNDUP(Assumptions!$B$4,0)</f>
        <v>0</v>
      </c>
      <c r="BN8" s="168">
        <f>ROUNDUP(Assumptions!$B$4,0)</f>
        <v>0</v>
      </c>
      <c r="BO8" s="168">
        <f>ROUNDUP(Assumptions!$B$4,0)</f>
        <v>0</v>
      </c>
    </row>
    <row r="9" spans="1:67" s="173" customFormat="1" x14ac:dyDescent="0.25">
      <c r="A9" s="169" t="s">
        <v>229</v>
      </c>
      <c r="B9" s="160"/>
      <c r="C9" s="170"/>
      <c r="D9" s="171">
        <f>D7-D8</f>
        <v>1</v>
      </c>
      <c r="E9" s="171">
        <f t="shared" ref="E9:G9" si="0">E7-E8</f>
        <v>0</v>
      </c>
      <c r="F9" s="171">
        <f t="shared" si="0"/>
        <v>0</v>
      </c>
      <c r="G9" s="171">
        <f t="shared" si="0"/>
        <v>0</v>
      </c>
      <c r="H9" s="172">
        <f>H7-H8</f>
        <v>1</v>
      </c>
      <c r="I9" s="172">
        <f t="shared" ref="I9:BO9" si="1">I7-I8</f>
        <v>1</v>
      </c>
      <c r="J9" s="172">
        <f t="shared" si="1"/>
        <v>1</v>
      </c>
      <c r="K9" s="172">
        <f t="shared" si="1"/>
        <v>1</v>
      </c>
      <c r="L9" s="172">
        <f t="shared" si="1"/>
        <v>1</v>
      </c>
      <c r="M9" s="172">
        <f t="shared" si="1"/>
        <v>1</v>
      </c>
      <c r="N9" s="172">
        <f t="shared" si="1"/>
        <v>1</v>
      </c>
      <c r="O9" s="172">
        <f t="shared" si="1"/>
        <v>1</v>
      </c>
      <c r="P9" s="172">
        <f t="shared" si="1"/>
        <v>1</v>
      </c>
      <c r="Q9" s="172">
        <f t="shared" si="1"/>
        <v>1</v>
      </c>
      <c r="R9" s="172">
        <f t="shared" si="1"/>
        <v>1</v>
      </c>
      <c r="S9" s="172">
        <f t="shared" si="1"/>
        <v>1</v>
      </c>
      <c r="T9" s="172">
        <f t="shared" si="1"/>
        <v>1</v>
      </c>
      <c r="U9" s="172">
        <f t="shared" si="1"/>
        <v>1</v>
      </c>
      <c r="V9" s="172">
        <f t="shared" si="1"/>
        <v>1</v>
      </c>
      <c r="W9" s="172">
        <f t="shared" si="1"/>
        <v>1</v>
      </c>
      <c r="X9" s="172">
        <f t="shared" si="1"/>
        <v>1</v>
      </c>
      <c r="Y9" s="172">
        <f t="shared" si="1"/>
        <v>1</v>
      </c>
      <c r="Z9" s="172">
        <f t="shared" si="1"/>
        <v>1</v>
      </c>
      <c r="AA9" s="172">
        <f t="shared" si="1"/>
        <v>1</v>
      </c>
      <c r="AB9" s="172">
        <f t="shared" si="1"/>
        <v>1</v>
      </c>
      <c r="AC9" s="172">
        <f t="shared" si="1"/>
        <v>1</v>
      </c>
      <c r="AD9" s="172">
        <f t="shared" si="1"/>
        <v>1</v>
      </c>
      <c r="AE9" s="172">
        <f t="shared" si="1"/>
        <v>1</v>
      </c>
      <c r="AF9" s="172">
        <f t="shared" si="1"/>
        <v>1</v>
      </c>
      <c r="AG9" s="172">
        <f t="shared" si="1"/>
        <v>1</v>
      </c>
      <c r="AH9" s="172">
        <f t="shared" si="1"/>
        <v>1</v>
      </c>
      <c r="AI9" s="172">
        <f t="shared" si="1"/>
        <v>1</v>
      </c>
      <c r="AJ9" s="172">
        <f t="shared" si="1"/>
        <v>1</v>
      </c>
      <c r="AK9" s="172">
        <f t="shared" si="1"/>
        <v>1</v>
      </c>
      <c r="AL9" s="172">
        <f t="shared" si="1"/>
        <v>1</v>
      </c>
      <c r="AM9" s="172">
        <f t="shared" si="1"/>
        <v>1</v>
      </c>
      <c r="AN9" s="172">
        <f t="shared" si="1"/>
        <v>1</v>
      </c>
      <c r="AO9" s="172">
        <f t="shared" si="1"/>
        <v>1</v>
      </c>
      <c r="AP9" s="172">
        <f t="shared" si="1"/>
        <v>1</v>
      </c>
      <c r="AQ9" s="172">
        <f t="shared" si="1"/>
        <v>1</v>
      </c>
      <c r="AR9" s="172">
        <f t="shared" si="1"/>
        <v>1</v>
      </c>
      <c r="AS9" s="172">
        <f t="shared" si="1"/>
        <v>1</v>
      </c>
      <c r="AT9" s="172">
        <f t="shared" si="1"/>
        <v>1</v>
      </c>
      <c r="AU9" s="172">
        <f t="shared" si="1"/>
        <v>1</v>
      </c>
      <c r="AV9" s="172">
        <f t="shared" si="1"/>
        <v>1</v>
      </c>
      <c r="AW9" s="172">
        <f t="shared" si="1"/>
        <v>1</v>
      </c>
      <c r="AX9" s="172">
        <f t="shared" si="1"/>
        <v>1</v>
      </c>
      <c r="AY9" s="172">
        <f t="shared" si="1"/>
        <v>1</v>
      </c>
      <c r="AZ9" s="172">
        <f t="shared" si="1"/>
        <v>1</v>
      </c>
      <c r="BA9" s="172">
        <f t="shared" si="1"/>
        <v>1</v>
      </c>
      <c r="BB9" s="172">
        <f t="shared" si="1"/>
        <v>1</v>
      </c>
      <c r="BC9" s="172">
        <f t="shared" si="1"/>
        <v>1</v>
      </c>
      <c r="BD9" s="172">
        <f t="shared" si="1"/>
        <v>1</v>
      </c>
      <c r="BE9" s="172">
        <f t="shared" si="1"/>
        <v>1</v>
      </c>
      <c r="BF9" s="172">
        <f t="shared" si="1"/>
        <v>1</v>
      </c>
      <c r="BG9" s="172">
        <f t="shared" si="1"/>
        <v>1</v>
      </c>
      <c r="BH9" s="172">
        <f t="shared" si="1"/>
        <v>1</v>
      </c>
      <c r="BI9" s="172">
        <f t="shared" si="1"/>
        <v>1</v>
      </c>
      <c r="BJ9" s="172">
        <f t="shared" si="1"/>
        <v>1</v>
      </c>
      <c r="BK9" s="172">
        <f t="shared" si="1"/>
        <v>1</v>
      </c>
      <c r="BL9" s="172">
        <f t="shared" si="1"/>
        <v>1</v>
      </c>
      <c r="BM9" s="172">
        <f t="shared" si="1"/>
        <v>1</v>
      </c>
      <c r="BN9" s="172">
        <f t="shared" si="1"/>
        <v>1</v>
      </c>
      <c r="BO9" s="172">
        <f t="shared" si="1"/>
        <v>1</v>
      </c>
    </row>
    <row r="10" spans="1:67" s="173" customFormat="1" x14ac:dyDescent="0.25">
      <c r="A10" s="174" t="s">
        <v>230</v>
      </c>
      <c r="B10" s="175"/>
      <c r="C10" s="170"/>
      <c r="D10" s="171">
        <f>D9</f>
        <v>1</v>
      </c>
      <c r="E10" s="171">
        <f>E9+D10</f>
        <v>1</v>
      </c>
      <c r="F10" s="171">
        <f>F9+E10</f>
        <v>1</v>
      </c>
      <c r="G10" s="171">
        <f>G9+F10</f>
        <v>1</v>
      </c>
      <c r="H10" s="172">
        <f>H9+G10</f>
        <v>2</v>
      </c>
      <c r="I10" s="172">
        <f t="shared" ref="I10:BO10" si="2">I9+H10</f>
        <v>3</v>
      </c>
      <c r="J10" s="172">
        <f t="shared" si="2"/>
        <v>4</v>
      </c>
      <c r="K10" s="172">
        <f t="shared" si="2"/>
        <v>5</v>
      </c>
      <c r="L10" s="172">
        <f t="shared" si="2"/>
        <v>6</v>
      </c>
      <c r="M10" s="172">
        <f t="shared" si="2"/>
        <v>7</v>
      </c>
      <c r="N10" s="172">
        <f t="shared" si="2"/>
        <v>8</v>
      </c>
      <c r="O10" s="172">
        <f t="shared" si="2"/>
        <v>9</v>
      </c>
      <c r="P10" s="172">
        <f t="shared" si="2"/>
        <v>10</v>
      </c>
      <c r="Q10" s="172">
        <f t="shared" si="2"/>
        <v>11</v>
      </c>
      <c r="R10" s="172">
        <f t="shared" si="2"/>
        <v>12</v>
      </c>
      <c r="S10" s="172">
        <f t="shared" si="2"/>
        <v>13</v>
      </c>
      <c r="T10" s="172">
        <f t="shared" si="2"/>
        <v>14</v>
      </c>
      <c r="U10" s="172">
        <f t="shared" si="2"/>
        <v>15</v>
      </c>
      <c r="V10" s="172">
        <f t="shared" si="2"/>
        <v>16</v>
      </c>
      <c r="W10" s="172">
        <f t="shared" si="2"/>
        <v>17</v>
      </c>
      <c r="X10" s="172">
        <f t="shared" si="2"/>
        <v>18</v>
      </c>
      <c r="Y10" s="172">
        <f t="shared" si="2"/>
        <v>19</v>
      </c>
      <c r="Z10" s="172">
        <f t="shared" si="2"/>
        <v>20</v>
      </c>
      <c r="AA10" s="172">
        <f t="shared" si="2"/>
        <v>21</v>
      </c>
      <c r="AB10" s="172">
        <f t="shared" si="2"/>
        <v>22</v>
      </c>
      <c r="AC10" s="172">
        <f t="shared" si="2"/>
        <v>23</v>
      </c>
      <c r="AD10" s="172">
        <f t="shared" si="2"/>
        <v>24</v>
      </c>
      <c r="AE10" s="172">
        <f t="shared" si="2"/>
        <v>25</v>
      </c>
      <c r="AF10" s="172">
        <f t="shared" si="2"/>
        <v>26</v>
      </c>
      <c r="AG10" s="172">
        <f t="shared" si="2"/>
        <v>27</v>
      </c>
      <c r="AH10" s="172">
        <f t="shared" si="2"/>
        <v>28</v>
      </c>
      <c r="AI10" s="172">
        <f t="shared" si="2"/>
        <v>29</v>
      </c>
      <c r="AJ10" s="172">
        <f t="shared" si="2"/>
        <v>30</v>
      </c>
      <c r="AK10" s="172">
        <f t="shared" si="2"/>
        <v>31</v>
      </c>
      <c r="AL10" s="172">
        <f t="shared" si="2"/>
        <v>32</v>
      </c>
      <c r="AM10" s="172">
        <f t="shared" si="2"/>
        <v>33</v>
      </c>
      <c r="AN10" s="172">
        <f t="shared" si="2"/>
        <v>34</v>
      </c>
      <c r="AO10" s="172">
        <f t="shared" si="2"/>
        <v>35</v>
      </c>
      <c r="AP10" s="172">
        <f t="shared" si="2"/>
        <v>36</v>
      </c>
      <c r="AQ10" s="172">
        <f t="shared" si="2"/>
        <v>37</v>
      </c>
      <c r="AR10" s="172">
        <f t="shared" si="2"/>
        <v>38</v>
      </c>
      <c r="AS10" s="172">
        <f t="shared" si="2"/>
        <v>39</v>
      </c>
      <c r="AT10" s="172">
        <f t="shared" si="2"/>
        <v>40</v>
      </c>
      <c r="AU10" s="172">
        <f t="shared" si="2"/>
        <v>41</v>
      </c>
      <c r="AV10" s="172">
        <f t="shared" si="2"/>
        <v>42</v>
      </c>
      <c r="AW10" s="172">
        <f t="shared" si="2"/>
        <v>43</v>
      </c>
      <c r="AX10" s="172">
        <f t="shared" si="2"/>
        <v>44</v>
      </c>
      <c r="AY10" s="172">
        <f t="shared" si="2"/>
        <v>45</v>
      </c>
      <c r="AZ10" s="172">
        <f t="shared" si="2"/>
        <v>46</v>
      </c>
      <c r="BA10" s="172">
        <f t="shared" si="2"/>
        <v>47</v>
      </c>
      <c r="BB10" s="172">
        <f t="shared" si="2"/>
        <v>48</v>
      </c>
      <c r="BC10" s="172">
        <f t="shared" si="2"/>
        <v>49</v>
      </c>
      <c r="BD10" s="172">
        <f t="shared" si="2"/>
        <v>50</v>
      </c>
      <c r="BE10" s="172">
        <f t="shared" si="2"/>
        <v>51</v>
      </c>
      <c r="BF10" s="172">
        <f t="shared" si="2"/>
        <v>52</v>
      </c>
      <c r="BG10" s="172">
        <f t="shared" si="2"/>
        <v>53</v>
      </c>
      <c r="BH10" s="172">
        <f t="shared" si="2"/>
        <v>54</v>
      </c>
      <c r="BI10" s="172">
        <f t="shared" si="2"/>
        <v>55</v>
      </c>
      <c r="BJ10" s="172">
        <f t="shared" si="2"/>
        <v>56</v>
      </c>
      <c r="BK10" s="172">
        <f t="shared" si="2"/>
        <v>57</v>
      </c>
      <c r="BL10" s="172">
        <f t="shared" si="2"/>
        <v>58</v>
      </c>
      <c r="BM10" s="172">
        <f t="shared" si="2"/>
        <v>59</v>
      </c>
      <c r="BN10" s="172">
        <f t="shared" si="2"/>
        <v>60</v>
      </c>
      <c r="BO10" s="172">
        <f t="shared" si="2"/>
        <v>61</v>
      </c>
    </row>
    <row r="11" spans="1:67" x14ac:dyDescent="0.25">
      <c r="A11" s="176"/>
    </row>
    <row r="12" spans="1:67" s="162" customFormat="1" x14ac:dyDescent="0.25">
      <c r="A12" s="159" t="s">
        <v>231</v>
      </c>
      <c r="B12" s="160"/>
      <c r="C12" s="161"/>
      <c r="D12" s="161"/>
      <c r="E12" s="161"/>
      <c r="F12" s="161"/>
      <c r="G12" s="161"/>
    </row>
    <row r="13" spans="1:67" x14ac:dyDescent="0.25">
      <c r="A13" s="163" t="s">
        <v>167</v>
      </c>
      <c r="B13" s="164"/>
      <c r="D13" s="165"/>
      <c r="E13" s="165"/>
      <c r="F13" s="165"/>
      <c r="G13" s="165"/>
      <c r="H13" s="166">
        <f>ROUNDDOWN(H10/Assumptions!$K$40,0)</f>
        <v>0</v>
      </c>
      <c r="I13" s="166">
        <f>ROUNDDOWN(I10/Assumptions!$K$40,0)</f>
        <v>0</v>
      </c>
      <c r="J13" s="166">
        <f>ROUNDDOWN(J10/Assumptions!$K$40,0)</f>
        <v>0</v>
      </c>
      <c r="K13" s="166">
        <f>ROUNDDOWN(K10/Assumptions!$K$40,0)</f>
        <v>1</v>
      </c>
      <c r="L13" s="166">
        <f>ROUNDDOWN(L10/Assumptions!$K$40,0)</f>
        <v>1</v>
      </c>
      <c r="M13" s="166">
        <f>ROUNDDOWN(M10/Assumptions!$K$40,0)</f>
        <v>1</v>
      </c>
      <c r="N13" s="166">
        <f>ROUNDDOWN(N10/Assumptions!$K$40,0)</f>
        <v>1</v>
      </c>
      <c r="O13" s="166">
        <f>ROUNDDOWN(O10/Assumptions!$K$40,0)</f>
        <v>1</v>
      </c>
      <c r="P13" s="166">
        <f>ROUNDDOWN(P10/Assumptions!$K$40,0)</f>
        <v>2</v>
      </c>
      <c r="Q13" s="166">
        <f>ROUNDDOWN(Q10/Assumptions!$K$40,0)</f>
        <v>2</v>
      </c>
      <c r="R13" s="166">
        <f>ROUNDDOWN(R10/Assumptions!$K$40,0)</f>
        <v>2</v>
      </c>
      <c r="S13" s="166">
        <f>ROUNDDOWN(S10/Assumptions!$K$40,0)</f>
        <v>2</v>
      </c>
      <c r="T13" s="166">
        <f>ROUNDDOWN(T10/Assumptions!$K$40,0)</f>
        <v>2</v>
      </c>
      <c r="U13" s="166">
        <f>ROUNDDOWN(U10/Assumptions!$K$40,0)</f>
        <v>3</v>
      </c>
      <c r="V13" s="166">
        <f>ROUNDDOWN(V10/Assumptions!$K$40,0)</f>
        <v>3</v>
      </c>
      <c r="W13" s="166">
        <f>ROUNDDOWN(W10/Assumptions!$K$40,0)</f>
        <v>3</v>
      </c>
      <c r="X13" s="166">
        <f>ROUNDDOWN(X10/Assumptions!$K$40,0)</f>
        <v>3</v>
      </c>
      <c r="Y13" s="166">
        <f>ROUNDDOWN(Y10/Assumptions!$K$40,0)</f>
        <v>3</v>
      </c>
      <c r="Z13" s="166">
        <f>ROUNDDOWN(Z10/Assumptions!$K$40,0)</f>
        <v>4</v>
      </c>
      <c r="AA13" s="166">
        <f>ROUNDDOWN(AA10/Assumptions!$K$40,0)</f>
        <v>4</v>
      </c>
      <c r="AB13" s="166">
        <f>ROUNDDOWN(AB10/Assumptions!$K$40,0)</f>
        <v>4</v>
      </c>
      <c r="AC13" s="166">
        <f>ROUNDDOWN(AC10/Assumptions!$K$40,0)</f>
        <v>4</v>
      </c>
      <c r="AD13" s="166">
        <f>ROUNDDOWN(AD10/Assumptions!$K$40,0)</f>
        <v>4</v>
      </c>
      <c r="AE13" s="166">
        <f>ROUNDDOWN(AE10/Assumptions!$K$40,0)</f>
        <v>5</v>
      </c>
      <c r="AF13" s="166">
        <f>ROUNDDOWN(AF10/Assumptions!$K$40,0)</f>
        <v>5</v>
      </c>
      <c r="AG13" s="166">
        <f>ROUNDDOWN(AG10/Assumptions!$K$40,0)</f>
        <v>5</v>
      </c>
      <c r="AH13" s="166">
        <f>ROUNDDOWN(AH10/Assumptions!$K$40,0)</f>
        <v>5</v>
      </c>
      <c r="AI13" s="166">
        <f>ROUNDDOWN(AI10/Assumptions!$K$40,0)</f>
        <v>5</v>
      </c>
      <c r="AJ13" s="166">
        <f>ROUNDDOWN(AJ10/Assumptions!$K$40,0)</f>
        <v>6</v>
      </c>
      <c r="AK13" s="166">
        <f>ROUNDDOWN(AK10/Assumptions!$K$40,0)</f>
        <v>6</v>
      </c>
      <c r="AL13" s="166">
        <f>ROUNDDOWN(AL10/Assumptions!$K$40,0)</f>
        <v>6</v>
      </c>
      <c r="AM13" s="166">
        <f>ROUNDDOWN(AM10/Assumptions!$K$40,0)</f>
        <v>6</v>
      </c>
      <c r="AN13" s="166">
        <f>ROUNDDOWN(AN10/Assumptions!$K$40,0)</f>
        <v>6</v>
      </c>
      <c r="AO13" s="166">
        <f>ROUNDDOWN(AO10/Assumptions!$K$40,0)</f>
        <v>7</v>
      </c>
      <c r="AP13" s="166">
        <f>ROUNDDOWN(AP10/Assumptions!$K$40,0)</f>
        <v>7</v>
      </c>
      <c r="AQ13" s="166">
        <f>ROUNDDOWN(AQ10/Assumptions!$K$40,0)</f>
        <v>7</v>
      </c>
      <c r="AR13" s="166">
        <f>ROUNDDOWN(AR10/Assumptions!$K$40,0)</f>
        <v>7</v>
      </c>
      <c r="AS13" s="166">
        <f>ROUNDDOWN(AS10/Assumptions!$K$40,0)</f>
        <v>7</v>
      </c>
      <c r="AT13" s="166">
        <f>ROUNDDOWN(AT10/Assumptions!$K$40,0)</f>
        <v>8</v>
      </c>
      <c r="AU13" s="166">
        <f>ROUNDDOWN(AU10/Assumptions!$K$40,0)</f>
        <v>8</v>
      </c>
      <c r="AV13" s="166">
        <f>ROUNDDOWN(AV10/Assumptions!$K$40,0)</f>
        <v>8</v>
      </c>
      <c r="AW13" s="166">
        <f>ROUNDDOWN(AW10/Assumptions!$K$40,0)</f>
        <v>8</v>
      </c>
      <c r="AX13" s="166">
        <f>ROUNDDOWN(AX10/Assumptions!$K$40,0)</f>
        <v>8</v>
      </c>
      <c r="AY13" s="166">
        <f>ROUNDDOWN(AY10/Assumptions!$K$40,0)</f>
        <v>9</v>
      </c>
      <c r="AZ13" s="166">
        <f>ROUNDDOWN(AZ10/Assumptions!$K$40,0)</f>
        <v>9</v>
      </c>
      <c r="BA13" s="166">
        <f>ROUNDDOWN(BA10/Assumptions!$K$40,0)</f>
        <v>9</v>
      </c>
      <c r="BB13" s="166">
        <f>ROUNDDOWN(BB10/Assumptions!$K$40,0)</f>
        <v>9</v>
      </c>
      <c r="BC13" s="166">
        <f>ROUNDDOWN(BC10/Assumptions!$K$40,0)</f>
        <v>9</v>
      </c>
      <c r="BD13" s="166">
        <f>ROUNDDOWN(BD10/Assumptions!$K$40,0)</f>
        <v>10</v>
      </c>
      <c r="BE13" s="166">
        <f>ROUNDDOWN(BE10/Assumptions!$K$40,0)</f>
        <v>10</v>
      </c>
      <c r="BF13" s="166">
        <f>ROUNDDOWN(BF10/Assumptions!$K$40,0)</f>
        <v>10</v>
      </c>
      <c r="BG13" s="166">
        <f>ROUNDDOWN(BG10/Assumptions!$K$40,0)</f>
        <v>10</v>
      </c>
      <c r="BH13" s="166">
        <f>ROUNDDOWN(BH10/Assumptions!$K$40,0)</f>
        <v>10</v>
      </c>
      <c r="BI13" s="166">
        <f>ROUNDDOWN(BI10/Assumptions!$K$40,0)</f>
        <v>11</v>
      </c>
      <c r="BJ13" s="166">
        <f>ROUNDDOWN(BJ10/Assumptions!$K$40,0)</f>
        <v>11</v>
      </c>
      <c r="BK13" s="166">
        <f>ROUNDDOWN(BK10/Assumptions!$K$40,0)</f>
        <v>11</v>
      </c>
      <c r="BL13" s="166">
        <f>ROUNDDOWN(BL10/Assumptions!$K$40,0)</f>
        <v>11</v>
      </c>
      <c r="BM13" s="166">
        <f>ROUNDDOWN(BM10/Assumptions!$K$40,0)</f>
        <v>11</v>
      </c>
      <c r="BN13" s="166">
        <f>ROUNDDOWN(BN10/Assumptions!$K$40,0)</f>
        <v>12</v>
      </c>
      <c r="BO13" s="166">
        <f>ROUNDDOWN(BO10/Assumptions!$K$40,0)</f>
        <v>12</v>
      </c>
    </row>
    <row r="14" spans="1:67" x14ac:dyDescent="0.25">
      <c r="A14" s="163" t="s">
        <v>169</v>
      </c>
      <c r="B14" s="164"/>
      <c r="D14" s="165"/>
      <c r="E14" s="165"/>
      <c r="F14" s="165"/>
      <c r="G14" s="165"/>
      <c r="H14" s="166">
        <f>ROUNDDOWN(H10/Assumptions!$K$41,0)</f>
        <v>0</v>
      </c>
      <c r="I14" s="166">
        <f>ROUNDDOWN(I10/Assumptions!$K$41,0)</f>
        <v>0</v>
      </c>
      <c r="J14" s="166">
        <f>ROUNDDOWN(J10/Assumptions!$K$41,0)</f>
        <v>0</v>
      </c>
      <c r="K14" s="166">
        <f>ROUNDDOWN(K10/Assumptions!$K$41,0)</f>
        <v>0</v>
      </c>
      <c r="L14" s="166">
        <f>ROUNDDOWN(L10/Assumptions!$K$41,0)</f>
        <v>0</v>
      </c>
      <c r="M14" s="166">
        <f>ROUNDDOWN(M10/Assumptions!$K$41,0)</f>
        <v>0</v>
      </c>
      <c r="N14" s="166">
        <f>ROUNDDOWN(N10/Assumptions!$K$41,0)</f>
        <v>0</v>
      </c>
      <c r="O14" s="166">
        <f>ROUNDDOWN(O10/Assumptions!$K$41,0)</f>
        <v>0</v>
      </c>
      <c r="P14" s="166">
        <f>ROUNDDOWN(P10/Assumptions!$K$41,0)</f>
        <v>1</v>
      </c>
      <c r="Q14" s="166">
        <f>ROUNDDOWN(Q10/Assumptions!$K$41,0)</f>
        <v>1</v>
      </c>
      <c r="R14" s="166">
        <f>ROUNDDOWN(R10/Assumptions!$K$41,0)</f>
        <v>1</v>
      </c>
      <c r="S14" s="166">
        <f>ROUNDDOWN(S10/Assumptions!$K$41,0)</f>
        <v>1</v>
      </c>
      <c r="T14" s="166">
        <f>ROUNDDOWN(T10/Assumptions!$K$41,0)</f>
        <v>1</v>
      </c>
      <c r="U14" s="166">
        <f>ROUNDDOWN(U10/Assumptions!$K$41,0)</f>
        <v>1</v>
      </c>
      <c r="V14" s="166">
        <f>ROUNDDOWN(V10/Assumptions!$K$41,0)</f>
        <v>1</v>
      </c>
      <c r="W14" s="166">
        <f>ROUNDDOWN(W10/Assumptions!$K$41,0)</f>
        <v>1</v>
      </c>
      <c r="X14" s="166">
        <f>ROUNDDOWN(X10/Assumptions!$K$41,0)</f>
        <v>1</v>
      </c>
      <c r="Y14" s="166">
        <f>ROUNDDOWN(Y10/Assumptions!$K$41,0)</f>
        <v>1</v>
      </c>
      <c r="Z14" s="166">
        <f>ROUNDDOWN(Z10/Assumptions!$K$41,0)</f>
        <v>2</v>
      </c>
      <c r="AA14" s="166">
        <f>ROUNDDOWN(AA10/Assumptions!$K$41,0)</f>
        <v>2</v>
      </c>
      <c r="AB14" s="166">
        <f>ROUNDDOWN(AB10/Assumptions!$K$41,0)</f>
        <v>2</v>
      </c>
      <c r="AC14" s="166">
        <f>ROUNDDOWN(AC10/Assumptions!$K$41,0)</f>
        <v>2</v>
      </c>
      <c r="AD14" s="166">
        <f>ROUNDDOWN(AD10/Assumptions!$K$41,0)</f>
        <v>2</v>
      </c>
      <c r="AE14" s="166">
        <f>ROUNDDOWN(AE10/Assumptions!$K$41,0)</f>
        <v>2</v>
      </c>
      <c r="AF14" s="166">
        <f>ROUNDDOWN(AF10/Assumptions!$K$41,0)</f>
        <v>2</v>
      </c>
      <c r="AG14" s="166">
        <f>ROUNDDOWN(AG10/Assumptions!$K$41,0)</f>
        <v>2</v>
      </c>
      <c r="AH14" s="166">
        <f>ROUNDDOWN(AH10/Assumptions!$K$41,0)</f>
        <v>2</v>
      </c>
      <c r="AI14" s="166">
        <f>ROUNDDOWN(AI10/Assumptions!$K$41,0)</f>
        <v>2</v>
      </c>
      <c r="AJ14" s="166">
        <f>ROUNDDOWN(AJ10/Assumptions!$K$41,0)</f>
        <v>3</v>
      </c>
      <c r="AK14" s="166">
        <f>ROUNDDOWN(AK10/Assumptions!$K$41,0)</f>
        <v>3</v>
      </c>
      <c r="AL14" s="166">
        <f>ROUNDDOWN(AL10/Assumptions!$K$41,0)</f>
        <v>3</v>
      </c>
      <c r="AM14" s="166">
        <f>ROUNDDOWN(AM10/Assumptions!$K$41,0)</f>
        <v>3</v>
      </c>
      <c r="AN14" s="166">
        <f>ROUNDDOWN(AN10/Assumptions!$K$41,0)</f>
        <v>3</v>
      </c>
      <c r="AO14" s="166">
        <f>ROUNDDOWN(AO10/Assumptions!$K$41,0)</f>
        <v>3</v>
      </c>
      <c r="AP14" s="166">
        <f>ROUNDDOWN(AP10/Assumptions!$K$41,0)</f>
        <v>3</v>
      </c>
      <c r="AQ14" s="166">
        <f>ROUNDDOWN(AQ10/Assumptions!$K$41,0)</f>
        <v>3</v>
      </c>
      <c r="AR14" s="166">
        <f>ROUNDDOWN(AR10/Assumptions!$K$41,0)</f>
        <v>3</v>
      </c>
      <c r="AS14" s="166">
        <f>ROUNDDOWN(AS10/Assumptions!$K$41,0)</f>
        <v>3</v>
      </c>
      <c r="AT14" s="166">
        <f>ROUNDDOWN(AT10/Assumptions!$K$41,0)</f>
        <v>4</v>
      </c>
      <c r="AU14" s="166">
        <f>ROUNDDOWN(AU10/Assumptions!$K$41,0)</f>
        <v>4</v>
      </c>
      <c r="AV14" s="166">
        <f>ROUNDDOWN(AV10/Assumptions!$K$41,0)</f>
        <v>4</v>
      </c>
      <c r="AW14" s="166">
        <f>ROUNDDOWN(AW10/Assumptions!$K$41,0)</f>
        <v>4</v>
      </c>
      <c r="AX14" s="166">
        <f>ROUNDDOWN(AX10/Assumptions!$K$41,0)</f>
        <v>4</v>
      </c>
      <c r="AY14" s="166">
        <f>ROUNDDOWN(AY10/Assumptions!$K$41,0)</f>
        <v>4</v>
      </c>
      <c r="AZ14" s="166">
        <f>ROUNDDOWN(AZ10/Assumptions!$K$41,0)</f>
        <v>4</v>
      </c>
      <c r="BA14" s="166">
        <f>ROUNDDOWN(BA10/Assumptions!$K$41,0)</f>
        <v>4</v>
      </c>
      <c r="BB14" s="166">
        <f>ROUNDDOWN(BB10/Assumptions!$K$41,0)</f>
        <v>4</v>
      </c>
      <c r="BC14" s="166">
        <f>ROUNDDOWN(BC10/Assumptions!$K$41,0)</f>
        <v>4</v>
      </c>
      <c r="BD14" s="166">
        <f>ROUNDDOWN(BD10/Assumptions!$K$41,0)</f>
        <v>5</v>
      </c>
      <c r="BE14" s="166">
        <f>ROUNDDOWN(BE10/Assumptions!$K$41,0)</f>
        <v>5</v>
      </c>
      <c r="BF14" s="166">
        <f>ROUNDDOWN(BF10/Assumptions!$K$41,0)</f>
        <v>5</v>
      </c>
      <c r="BG14" s="166">
        <f>ROUNDDOWN(BG10/Assumptions!$K$41,0)</f>
        <v>5</v>
      </c>
      <c r="BH14" s="166">
        <f>ROUNDDOWN(BH10/Assumptions!$K$41,0)</f>
        <v>5</v>
      </c>
      <c r="BI14" s="166">
        <f>ROUNDDOWN(BI10/Assumptions!$K$41,0)</f>
        <v>5</v>
      </c>
      <c r="BJ14" s="166">
        <f>ROUNDDOWN(BJ10/Assumptions!$K$41,0)</f>
        <v>5</v>
      </c>
      <c r="BK14" s="166">
        <f>ROUNDDOWN(BK10/Assumptions!$K$41,0)</f>
        <v>5</v>
      </c>
      <c r="BL14" s="166">
        <f>ROUNDDOWN(BL10/Assumptions!$K$41,0)</f>
        <v>5</v>
      </c>
      <c r="BM14" s="166">
        <f>ROUNDDOWN(BM10/Assumptions!$K$41,0)</f>
        <v>5</v>
      </c>
      <c r="BN14" s="166">
        <f>ROUNDDOWN(BN10/Assumptions!$K$41,0)</f>
        <v>6</v>
      </c>
      <c r="BO14" s="166">
        <f>ROUNDDOWN(BO10/Assumptions!$K$41,0)</f>
        <v>6</v>
      </c>
    </row>
    <row r="15" spans="1:67" s="173" customFormat="1" x14ac:dyDescent="0.25">
      <c r="A15" s="169" t="s">
        <v>232</v>
      </c>
      <c r="B15" s="175"/>
      <c r="C15" s="170"/>
      <c r="D15" s="171">
        <f>SUM(D13:D14)</f>
        <v>0</v>
      </c>
      <c r="E15" s="171">
        <f t="shared" ref="E15:BO15" si="3">SUM(E13:E14)</f>
        <v>0</v>
      </c>
      <c r="F15" s="171">
        <f t="shared" si="3"/>
        <v>0</v>
      </c>
      <c r="G15" s="171">
        <f t="shared" si="3"/>
        <v>0</v>
      </c>
      <c r="H15" s="172">
        <f t="shared" si="3"/>
        <v>0</v>
      </c>
      <c r="I15" s="172">
        <f>SUM(I13:I14)</f>
        <v>0</v>
      </c>
      <c r="J15" s="172">
        <f t="shared" si="3"/>
        <v>0</v>
      </c>
      <c r="K15" s="172">
        <f t="shared" si="3"/>
        <v>1</v>
      </c>
      <c r="L15" s="172">
        <f t="shared" si="3"/>
        <v>1</v>
      </c>
      <c r="M15" s="172">
        <f t="shared" si="3"/>
        <v>1</v>
      </c>
      <c r="N15" s="172">
        <f t="shared" si="3"/>
        <v>1</v>
      </c>
      <c r="O15" s="172">
        <f t="shared" si="3"/>
        <v>1</v>
      </c>
      <c r="P15" s="172">
        <f t="shared" si="3"/>
        <v>3</v>
      </c>
      <c r="Q15" s="172">
        <f t="shared" si="3"/>
        <v>3</v>
      </c>
      <c r="R15" s="172">
        <f t="shared" si="3"/>
        <v>3</v>
      </c>
      <c r="S15" s="172">
        <f t="shared" si="3"/>
        <v>3</v>
      </c>
      <c r="T15" s="172">
        <f t="shared" si="3"/>
        <v>3</v>
      </c>
      <c r="U15" s="172">
        <f t="shared" si="3"/>
        <v>4</v>
      </c>
      <c r="V15" s="172">
        <f t="shared" si="3"/>
        <v>4</v>
      </c>
      <c r="W15" s="172">
        <f t="shared" si="3"/>
        <v>4</v>
      </c>
      <c r="X15" s="172">
        <f t="shared" si="3"/>
        <v>4</v>
      </c>
      <c r="Y15" s="172">
        <f t="shared" si="3"/>
        <v>4</v>
      </c>
      <c r="Z15" s="172">
        <f t="shared" si="3"/>
        <v>6</v>
      </c>
      <c r="AA15" s="172">
        <f t="shared" si="3"/>
        <v>6</v>
      </c>
      <c r="AB15" s="172">
        <f t="shared" si="3"/>
        <v>6</v>
      </c>
      <c r="AC15" s="172">
        <f t="shared" si="3"/>
        <v>6</v>
      </c>
      <c r="AD15" s="172">
        <f t="shared" si="3"/>
        <v>6</v>
      </c>
      <c r="AE15" s="172">
        <f t="shared" si="3"/>
        <v>7</v>
      </c>
      <c r="AF15" s="172">
        <f t="shared" si="3"/>
        <v>7</v>
      </c>
      <c r="AG15" s="172">
        <f t="shared" si="3"/>
        <v>7</v>
      </c>
      <c r="AH15" s="172">
        <f t="shared" si="3"/>
        <v>7</v>
      </c>
      <c r="AI15" s="172">
        <f t="shared" si="3"/>
        <v>7</v>
      </c>
      <c r="AJ15" s="172">
        <f t="shared" si="3"/>
        <v>9</v>
      </c>
      <c r="AK15" s="172">
        <f t="shared" si="3"/>
        <v>9</v>
      </c>
      <c r="AL15" s="172">
        <f t="shared" si="3"/>
        <v>9</v>
      </c>
      <c r="AM15" s="172">
        <f t="shared" si="3"/>
        <v>9</v>
      </c>
      <c r="AN15" s="172">
        <f t="shared" si="3"/>
        <v>9</v>
      </c>
      <c r="AO15" s="172">
        <f t="shared" si="3"/>
        <v>10</v>
      </c>
      <c r="AP15" s="172">
        <f t="shared" si="3"/>
        <v>10</v>
      </c>
      <c r="AQ15" s="172">
        <f t="shared" si="3"/>
        <v>10</v>
      </c>
      <c r="AR15" s="172">
        <f t="shared" si="3"/>
        <v>10</v>
      </c>
      <c r="AS15" s="172">
        <f t="shared" si="3"/>
        <v>10</v>
      </c>
      <c r="AT15" s="172">
        <f t="shared" si="3"/>
        <v>12</v>
      </c>
      <c r="AU15" s="172">
        <f t="shared" si="3"/>
        <v>12</v>
      </c>
      <c r="AV15" s="172">
        <f t="shared" si="3"/>
        <v>12</v>
      </c>
      <c r="AW15" s="172">
        <f t="shared" si="3"/>
        <v>12</v>
      </c>
      <c r="AX15" s="172">
        <f t="shared" si="3"/>
        <v>12</v>
      </c>
      <c r="AY15" s="172">
        <f t="shared" si="3"/>
        <v>13</v>
      </c>
      <c r="AZ15" s="172">
        <f t="shared" si="3"/>
        <v>13</v>
      </c>
      <c r="BA15" s="172">
        <f t="shared" si="3"/>
        <v>13</v>
      </c>
      <c r="BB15" s="172">
        <f t="shared" si="3"/>
        <v>13</v>
      </c>
      <c r="BC15" s="172">
        <f t="shared" si="3"/>
        <v>13</v>
      </c>
      <c r="BD15" s="172">
        <f t="shared" si="3"/>
        <v>15</v>
      </c>
      <c r="BE15" s="172">
        <f t="shared" si="3"/>
        <v>15</v>
      </c>
      <c r="BF15" s="172">
        <f t="shared" si="3"/>
        <v>15</v>
      </c>
      <c r="BG15" s="172">
        <f t="shared" si="3"/>
        <v>15</v>
      </c>
      <c r="BH15" s="172">
        <f t="shared" si="3"/>
        <v>15</v>
      </c>
      <c r="BI15" s="172">
        <f t="shared" si="3"/>
        <v>16</v>
      </c>
      <c r="BJ15" s="172">
        <f t="shared" si="3"/>
        <v>16</v>
      </c>
      <c r="BK15" s="172">
        <f t="shared" si="3"/>
        <v>16</v>
      </c>
      <c r="BL15" s="172">
        <f t="shared" si="3"/>
        <v>16</v>
      </c>
      <c r="BM15" s="172">
        <f t="shared" si="3"/>
        <v>16</v>
      </c>
      <c r="BN15" s="172">
        <f t="shared" si="3"/>
        <v>18</v>
      </c>
      <c r="BO15" s="172">
        <f t="shared" si="3"/>
        <v>18</v>
      </c>
    </row>
    <row r="16" spans="1:67" x14ac:dyDescent="0.25">
      <c r="A16" s="176"/>
    </row>
    <row r="17" spans="1:67" s="162" customFormat="1" x14ac:dyDescent="0.25">
      <c r="A17" s="159" t="s">
        <v>233</v>
      </c>
      <c r="B17" s="160"/>
      <c r="C17" s="161"/>
      <c r="D17" s="161"/>
      <c r="E17" s="161"/>
      <c r="F17" s="161"/>
      <c r="G17" s="161"/>
    </row>
    <row r="18" spans="1:67" x14ac:dyDescent="0.25">
      <c r="A18" s="177"/>
    </row>
    <row r="19" spans="1:67" x14ac:dyDescent="0.25">
      <c r="A19" s="178" t="s">
        <v>170</v>
      </c>
    </row>
    <row r="20" spans="1:67" x14ac:dyDescent="0.25">
      <c r="A20" s="179" t="s">
        <v>178</v>
      </c>
      <c r="D20" s="165">
        <v>2</v>
      </c>
      <c r="E20" s="165">
        <v>2</v>
      </c>
      <c r="F20" s="165">
        <v>2</v>
      </c>
      <c r="G20" s="165">
        <v>2</v>
      </c>
      <c r="H20" s="180">
        <f>Assumptions!$B$9*Monthly!H$7</f>
        <v>1</v>
      </c>
      <c r="I20" s="180">
        <f>Assumptions!$B$9*Monthly!I$7</f>
        <v>1</v>
      </c>
      <c r="J20" s="180">
        <f>Assumptions!$B$9*Monthly!J$7</f>
        <v>1</v>
      </c>
      <c r="K20" s="180">
        <f>Assumptions!$B$9*Monthly!K$7</f>
        <v>1</v>
      </c>
      <c r="L20" s="180">
        <f>Assumptions!$B$9*Monthly!L$7</f>
        <v>1</v>
      </c>
      <c r="M20" s="180">
        <f>Assumptions!$B$9*Monthly!M$7</f>
        <v>1</v>
      </c>
      <c r="N20" s="180">
        <f>Assumptions!$B$9*Monthly!N$7</f>
        <v>1</v>
      </c>
      <c r="O20" s="180">
        <f>Assumptions!$B$9*Monthly!O$7</f>
        <v>1</v>
      </c>
      <c r="P20" s="180">
        <f>Assumptions!$B$9*Monthly!P$7</f>
        <v>1</v>
      </c>
      <c r="Q20" s="180">
        <f>Assumptions!$B$9*Monthly!Q$7</f>
        <v>1</v>
      </c>
      <c r="R20" s="180">
        <f>Assumptions!$B$9*Monthly!R$7</f>
        <v>1</v>
      </c>
      <c r="S20" s="180">
        <f>Assumptions!$B$9*Monthly!S$7</f>
        <v>1</v>
      </c>
      <c r="T20" s="180">
        <f>Assumptions!$B$9*Monthly!T$7</f>
        <v>1</v>
      </c>
      <c r="U20" s="180">
        <f>Assumptions!$B$9*Monthly!U$7</f>
        <v>1</v>
      </c>
      <c r="V20" s="180">
        <f>Assumptions!$B$9*Monthly!V$7</f>
        <v>1</v>
      </c>
      <c r="W20" s="180">
        <f>Assumptions!$B$9*Monthly!W$7</f>
        <v>1</v>
      </c>
      <c r="X20" s="180">
        <f>Assumptions!$B$9*Monthly!X$7</f>
        <v>1</v>
      </c>
      <c r="Y20" s="180">
        <f>Assumptions!$B$9*Monthly!Y$7</f>
        <v>1</v>
      </c>
      <c r="Z20" s="180">
        <f>Assumptions!$B$9*Monthly!Z$7</f>
        <v>1</v>
      </c>
      <c r="AA20" s="180">
        <f>Assumptions!$B$9*Monthly!AA$7</f>
        <v>1</v>
      </c>
      <c r="AB20" s="180">
        <f>Assumptions!$B$9*Monthly!AB$7</f>
        <v>1</v>
      </c>
      <c r="AC20" s="180">
        <f>Assumptions!$B$9*Monthly!AC$7</f>
        <v>1</v>
      </c>
      <c r="AD20" s="180">
        <f>Assumptions!$B$9*Monthly!AD$7</f>
        <v>1</v>
      </c>
      <c r="AE20" s="180">
        <f>Assumptions!$B$9*Monthly!AE$7</f>
        <v>1</v>
      </c>
      <c r="AF20" s="180">
        <f>Assumptions!$B$9*Monthly!AF$7</f>
        <v>1</v>
      </c>
      <c r="AG20" s="180">
        <f>Assumptions!$B$9*Monthly!AG$7</f>
        <v>1</v>
      </c>
      <c r="AH20" s="180">
        <f>Assumptions!$B$9*Monthly!AH$7</f>
        <v>1</v>
      </c>
      <c r="AI20" s="180">
        <f>Assumptions!$B$9*Monthly!AI$7</f>
        <v>1</v>
      </c>
      <c r="AJ20" s="180">
        <f>Assumptions!$B$9*Monthly!AJ$7</f>
        <v>1</v>
      </c>
      <c r="AK20" s="180">
        <f>Assumptions!$B$9*Monthly!AK$7</f>
        <v>1</v>
      </c>
      <c r="AL20" s="180">
        <f>Assumptions!$B$9*Monthly!AL$7</f>
        <v>1</v>
      </c>
      <c r="AM20" s="180">
        <f>Assumptions!$B$9*Monthly!AM$7</f>
        <v>1</v>
      </c>
      <c r="AN20" s="180">
        <f>Assumptions!$B$9*Monthly!AN$7</f>
        <v>1</v>
      </c>
      <c r="AO20" s="180">
        <f>Assumptions!$B$9*Monthly!AO$7</f>
        <v>1</v>
      </c>
      <c r="AP20" s="180">
        <f>Assumptions!$B$9*Monthly!AP$7</f>
        <v>1</v>
      </c>
      <c r="AQ20" s="180">
        <f>Assumptions!$B$9*Monthly!AQ$7</f>
        <v>1</v>
      </c>
      <c r="AR20" s="180">
        <f>Assumptions!$B$9*Monthly!AR$7</f>
        <v>1</v>
      </c>
      <c r="AS20" s="180">
        <f>Assumptions!$B$9*Monthly!AS$7</f>
        <v>1</v>
      </c>
      <c r="AT20" s="180">
        <f>Assumptions!$B$9*Monthly!AT$7</f>
        <v>1</v>
      </c>
      <c r="AU20" s="180">
        <f>Assumptions!$B$9*Monthly!AU$7</f>
        <v>1</v>
      </c>
      <c r="AV20" s="180">
        <f>Assumptions!$B$9*Monthly!AV$7</f>
        <v>1</v>
      </c>
      <c r="AW20" s="180">
        <f>Assumptions!$B$9*Monthly!AW$7</f>
        <v>1</v>
      </c>
      <c r="AX20" s="180">
        <f>Assumptions!$B$9*Monthly!AX$7</f>
        <v>1</v>
      </c>
      <c r="AY20" s="180">
        <f>Assumptions!$B$9*Monthly!AY$7</f>
        <v>1</v>
      </c>
      <c r="AZ20" s="180">
        <f>Assumptions!$B$9*Monthly!AZ$7</f>
        <v>1</v>
      </c>
      <c r="BA20" s="180">
        <f>Assumptions!$B$9*Monthly!BA$7</f>
        <v>1</v>
      </c>
      <c r="BB20" s="180">
        <f>Assumptions!$B$9*Monthly!BB$7</f>
        <v>1</v>
      </c>
      <c r="BC20" s="180">
        <f>Assumptions!$B$9*Monthly!BC$7</f>
        <v>1</v>
      </c>
      <c r="BD20" s="180">
        <f>Assumptions!$B$9*Monthly!BD$7</f>
        <v>1</v>
      </c>
      <c r="BE20" s="180">
        <f>Assumptions!$B$9*Monthly!BE$7</f>
        <v>1</v>
      </c>
      <c r="BF20" s="180">
        <f>Assumptions!$B$9*Monthly!BF$7</f>
        <v>1</v>
      </c>
      <c r="BG20" s="180">
        <f>Assumptions!$B$9*Monthly!BG$7</f>
        <v>1</v>
      </c>
      <c r="BH20" s="180">
        <f>Assumptions!$B$9*Monthly!BH$7</f>
        <v>1</v>
      </c>
      <c r="BI20" s="180">
        <f>Assumptions!$B$9*Monthly!BI$7</f>
        <v>1</v>
      </c>
      <c r="BJ20" s="180">
        <f>Assumptions!$B$9*Monthly!BJ$7</f>
        <v>1</v>
      </c>
      <c r="BK20" s="180">
        <f>Assumptions!$B$9*Monthly!BK$7</f>
        <v>1</v>
      </c>
      <c r="BL20" s="180">
        <f>Assumptions!$B$9*Monthly!BL$7</f>
        <v>1</v>
      </c>
      <c r="BM20" s="180">
        <f>Assumptions!$B$9*Monthly!BM$7</f>
        <v>1</v>
      </c>
      <c r="BN20" s="180">
        <f>Assumptions!$B$9*Monthly!BN$7</f>
        <v>1</v>
      </c>
      <c r="BO20" s="180">
        <f>Assumptions!$B$9*Monthly!BO$7</f>
        <v>1</v>
      </c>
    </row>
    <row r="21" spans="1:67" s="47" customFormat="1" x14ac:dyDescent="0.25">
      <c r="A21" s="181" t="s">
        <v>181</v>
      </c>
      <c r="B21" s="182"/>
      <c r="C21" s="183"/>
      <c r="D21" s="167">
        <f>D20*Assumptions!$F$11</f>
        <v>1919.9999999999998</v>
      </c>
      <c r="E21" s="167">
        <f>E20*Assumptions!$F$11</f>
        <v>1919.9999999999998</v>
      </c>
      <c r="F21" s="167">
        <f>F20*Assumptions!$F$11</f>
        <v>1919.9999999999998</v>
      </c>
      <c r="G21" s="167">
        <f>G20*Assumptions!$F$11</f>
        <v>1919.9999999999998</v>
      </c>
      <c r="H21" s="184">
        <f>H20*Assumptions!$F$11</f>
        <v>959.99999999999989</v>
      </c>
      <c r="I21" s="184">
        <f>I20*Assumptions!$F$11</f>
        <v>959.99999999999989</v>
      </c>
      <c r="J21" s="184">
        <f>J20*Assumptions!$F$11</f>
        <v>959.99999999999989</v>
      </c>
      <c r="K21" s="184">
        <f>K20*Assumptions!$F$11</f>
        <v>959.99999999999989</v>
      </c>
      <c r="L21" s="184">
        <f>L20*Assumptions!$F$11</f>
        <v>959.99999999999989</v>
      </c>
      <c r="M21" s="184">
        <f>M20*Assumptions!$F$11</f>
        <v>959.99999999999989</v>
      </c>
      <c r="N21" s="184">
        <f>N20*Assumptions!$F$11</f>
        <v>959.99999999999989</v>
      </c>
      <c r="O21" s="184">
        <f>O20*Assumptions!$F$11</f>
        <v>959.99999999999989</v>
      </c>
      <c r="P21" s="184">
        <f>P20*Assumptions!$F$11</f>
        <v>959.99999999999989</v>
      </c>
      <c r="Q21" s="184">
        <f>Q20*Assumptions!$F$11</f>
        <v>959.99999999999989</v>
      </c>
      <c r="R21" s="184">
        <f>R20*Assumptions!$F$11</f>
        <v>959.99999999999989</v>
      </c>
      <c r="S21" s="184">
        <f>S20*Assumptions!$F$11</f>
        <v>959.99999999999989</v>
      </c>
      <c r="T21" s="184">
        <f>T20*Assumptions!$F$11</f>
        <v>959.99999999999989</v>
      </c>
      <c r="U21" s="184">
        <f>U20*Assumptions!$F$11</f>
        <v>959.99999999999989</v>
      </c>
      <c r="V21" s="184">
        <f>V20*Assumptions!$F$11</f>
        <v>959.99999999999989</v>
      </c>
      <c r="W21" s="184">
        <f>W20*Assumptions!$F$11</f>
        <v>959.99999999999989</v>
      </c>
      <c r="X21" s="184">
        <f>X20*Assumptions!$F$11</f>
        <v>959.99999999999989</v>
      </c>
      <c r="Y21" s="184">
        <f>Y20*Assumptions!$F$11</f>
        <v>959.99999999999989</v>
      </c>
      <c r="Z21" s="184">
        <f>Z20*Assumptions!$F$11</f>
        <v>959.99999999999989</v>
      </c>
      <c r="AA21" s="184">
        <f>AA20*Assumptions!$F$11</f>
        <v>959.99999999999989</v>
      </c>
      <c r="AB21" s="184">
        <f>AB20*Assumptions!$F$11</f>
        <v>959.99999999999989</v>
      </c>
      <c r="AC21" s="184">
        <f>AC20*Assumptions!$F$11</f>
        <v>959.99999999999989</v>
      </c>
      <c r="AD21" s="184">
        <f>AD20*Assumptions!$F$11</f>
        <v>959.99999999999989</v>
      </c>
      <c r="AE21" s="184">
        <f>AE20*Assumptions!$F$11</f>
        <v>959.99999999999989</v>
      </c>
      <c r="AF21" s="184">
        <f>AF20*Assumptions!$F$11</f>
        <v>959.99999999999989</v>
      </c>
      <c r="AG21" s="184">
        <f>AG20*Assumptions!$F$11</f>
        <v>959.99999999999989</v>
      </c>
      <c r="AH21" s="184">
        <f>AH20*Assumptions!$F$11</f>
        <v>959.99999999999989</v>
      </c>
      <c r="AI21" s="184">
        <f>AI20*Assumptions!$F$11</f>
        <v>959.99999999999989</v>
      </c>
      <c r="AJ21" s="184">
        <f>AJ20*Assumptions!$F$11</f>
        <v>959.99999999999989</v>
      </c>
      <c r="AK21" s="184">
        <f>AK20*Assumptions!$F$11</f>
        <v>959.99999999999989</v>
      </c>
      <c r="AL21" s="184">
        <f>AL20*Assumptions!$F$11</f>
        <v>959.99999999999989</v>
      </c>
      <c r="AM21" s="184">
        <f>AM20*Assumptions!$F$11</f>
        <v>959.99999999999989</v>
      </c>
      <c r="AN21" s="184">
        <f>AN20*Assumptions!$F$11</f>
        <v>959.99999999999989</v>
      </c>
      <c r="AO21" s="184">
        <f>AO20*Assumptions!$F$11</f>
        <v>959.99999999999989</v>
      </c>
      <c r="AP21" s="184">
        <f>AP20*Assumptions!$F$11</f>
        <v>959.99999999999989</v>
      </c>
      <c r="AQ21" s="184">
        <f>AQ20*Assumptions!$F$11</f>
        <v>959.99999999999989</v>
      </c>
      <c r="AR21" s="184">
        <f>AR20*Assumptions!$F$11</f>
        <v>959.99999999999989</v>
      </c>
      <c r="AS21" s="184">
        <f>AS20*Assumptions!$F$11</f>
        <v>959.99999999999989</v>
      </c>
      <c r="AT21" s="184">
        <f>AT20*Assumptions!$F$11</f>
        <v>959.99999999999989</v>
      </c>
      <c r="AU21" s="184">
        <f>AU20*Assumptions!$F$11</f>
        <v>959.99999999999989</v>
      </c>
      <c r="AV21" s="184">
        <f>AV20*Assumptions!$F$11</f>
        <v>959.99999999999989</v>
      </c>
      <c r="AW21" s="184">
        <f>AW20*Assumptions!$F$11</f>
        <v>959.99999999999989</v>
      </c>
      <c r="AX21" s="184">
        <f>AX20*Assumptions!$F$11</f>
        <v>959.99999999999989</v>
      </c>
      <c r="AY21" s="184">
        <f>AY20*Assumptions!$F$11</f>
        <v>959.99999999999989</v>
      </c>
      <c r="AZ21" s="184">
        <f>AZ20*Assumptions!$F$11</f>
        <v>959.99999999999989</v>
      </c>
      <c r="BA21" s="184">
        <f>BA20*Assumptions!$F$11</f>
        <v>959.99999999999989</v>
      </c>
      <c r="BB21" s="184">
        <f>BB20*Assumptions!$F$11</f>
        <v>959.99999999999989</v>
      </c>
      <c r="BC21" s="184">
        <f>BC20*Assumptions!$F$11</f>
        <v>959.99999999999989</v>
      </c>
      <c r="BD21" s="184">
        <f>BD20*Assumptions!$F$11</f>
        <v>959.99999999999989</v>
      </c>
      <c r="BE21" s="184">
        <f>BE20*Assumptions!$F$11</f>
        <v>959.99999999999989</v>
      </c>
      <c r="BF21" s="184">
        <f>BF20*Assumptions!$F$11</f>
        <v>959.99999999999989</v>
      </c>
      <c r="BG21" s="184">
        <f>BG20*Assumptions!$F$11</f>
        <v>959.99999999999989</v>
      </c>
      <c r="BH21" s="184">
        <f>BH20*Assumptions!$F$11</f>
        <v>959.99999999999989</v>
      </c>
      <c r="BI21" s="184">
        <f>BI20*Assumptions!$F$11</f>
        <v>959.99999999999989</v>
      </c>
      <c r="BJ21" s="184">
        <f>BJ20*Assumptions!$F$11</f>
        <v>959.99999999999989</v>
      </c>
      <c r="BK21" s="184">
        <f>BK20*Assumptions!$F$11</f>
        <v>959.99999999999989</v>
      </c>
      <c r="BL21" s="184">
        <f>BL20*Assumptions!$F$11</f>
        <v>959.99999999999989</v>
      </c>
      <c r="BM21" s="184">
        <f>BM20*Assumptions!$F$11</f>
        <v>959.99999999999989</v>
      </c>
      <c r="BN21" s="184">
        <f>BN20*Assumptions!$F$11</f>
        <v>959.99999999999989</v>
      </c>
      <c r="BO21" s="184">
        <f>BO20*Assumptions!$F$11</f>
        <v>959.99999999999989</v>
      </c>
    </row>
    <row r="22" spans="1:67" x14ac:dyDescent="0.25">
      <c r="D22" s="165"/>
      <c r="E22" s="165"/>
      <c r="F22" s="165"/>
      <c r="G22" s="165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</row>
    <row r="23" spans="1:67" x14ac:dyDescent="0.25">
      <c r="A23" s="178" t="s">
        <v>234</v>
      </c>
    </row>
    <row r="24" spans="1:67" x14ac:dyDescent="0.25">
      <c r="A24" s="179" t="s">
        <v>178</v>
      </c>
      <c r="D24" s="165">
        <v>0</v>
      </c>
      <c r="E24" s="165">
        <v>0</v>
      </c>
      <c r="F24" s="165">
        <v>0</v>
      </c>
      <c r="G24" s="165">
        <v>0</v>
      </c>
      <c r="H24" s="180">
        <f ca="1">OFFSET(H$10,0,-Assumptions!$B$8)*ROUNDUP(IF(Assumptions!$B$13&gt;=Assumptions!$B$17,Assumptions!$B$17,Assumptions!$B$13*(1+Assumptions!$B$21)),0)</f>
        <v>2</v>
      </c>
      <c r="I24" s="180">
        <f ca="1">OFFSET(I$10,0,-Assumptions!$B$8)*ROUNDUP(IF(Assumptions!$B$13&gt;=Assumptions!$B$17,Assumptions!$B$17,Assumptions!$B$13*(1+Assumptions!$B$21)),0)</f>
        <v>2</v>
      </c>
      <c r="J24" s="180">
        <f ca="1">OFFSET(J$10,0,-Assumptions!$B$8)*ROUNDUP(IF(Assumptions!$B$13&gt;=Assumptions!$B$17,Assumptions!$B$17,Assumptions!$B$13*(1+Assumptions!$B$21)),0)</f>
        <v>2</v>
      </c>
      <c r="K24" s="180">
        <f ca="1">OFFSET(K$10,0,-Assumptions!$B$8)*ROUNDUP(IF(Assumptions!$B$13&gt;=Assumptions!$B$17,Assumptions!$B$17,Assumptions!$B$13*(1+Assumptions!$B$21)),0)</f>
        <v>4</v>
      </c>
      <c r="L24" s="180">
        <f ca="1">OFFSET(L$10,0,-Assumptions!$B$8)*ROUNDUP(IF(Assumptions!$B$13&gt;=Assumptions!$B$17,Assumptions!$B$17,Assumptions!$B$13*(1+Assumptions!$B$21)),0)</f>
        <v>6</v>
      </c>
      <c r="M24" s="180">
        <f ca="1">OFFSET(M$10,0,-Assumptions!$B$8)*ROUNDUP(IF(Assumptions!$B$13&gt;=Assumptions!$B$17,Assumptions!$B$17,Assumptions!$B$13*(1+Assumptions!$B$21)),0)</f>
        <v>8</v>
      </c>
      <c r="N24" s="180">
        <f ca="1">OFFSET(N$10,0,-Assumptions!$B$8)*ROUNDUP(IF(Assumptions!$B$13&gt;=Assumptions!$B$17,Assumptions!$B$17,Assumptions!$B$13*(1+Assumptions!$B$21)),0)</f>
        <v>10</v>
      </c>
      <c r="O24" s="180">
        <f ca="1">OFFSET(O$10,0,-Assumptions!$B$8)*ROUNDUP(IF(Assumptions!$B$13&gt;=Assumptions!$B$17,Assumptions!$B$17,Assumptions!$B$13*(1+Assumptions!$B$21)),0)</f>
        <v>12</v>
      </c>
      <c r="P24" s="180">
        <f ca="1">OFFSET(P$10,0,-Assumptions!$B$8)*ROUNDUP(IF(Assumptions!$B$13&gt;=Assumptions!$B$17,Assumptions!$B$17,Assumptions!$B$13*(1+Assumptions!$B$21)),0)</f>
        <v>14</v>
      </c>
      <c r="Q24" s="180">
        <f ca="1">OFFSET(Q$10,0,-Assumptions!$B$8)*ROUNDUP(IF(Assumptions!$B$13&gt;=Assumptions!$B$17,Assumptions!$B$17,Assumptions!$B$13*(1+Assumptions!$B$21)),0)</f>
        <v>16</v>
      </c>
      <c r="R24" s="180">
        <f ca="1">OFFSET(R$10,0,-Assumptions!$B$8)*ROUNDUP(IF(Assumptions!$B$13&gt;=Assumptions!$B$17,Assumptions!$B$17,Assumptions!$B$13*(1+Assumptions!$B$21)),0)</f>
        <v>18</v>
      </c>
      <c r="S24" s="180">
        <f ca="1">OFFSET(S$10,0,-Assumptions!$B$8)*ROUNDUP(IF(Assumptions!$B$13&gt;=Assumptions!$B$17,Assumptions!$B$17,Assumptions!$B$13*(1+Assumptions!$B$21)),0)</f>
        <v>20</v>
      </c>
      <c r="T24" s="180">
        <f ca="1">OFFSET(T$10,0,-Assumptions!$B$8)*ROUNDUP(IF(Assumptions!$B$13&gt;=Assumptions!$B$17,Assumptions!$B$17,Assumptions!$B$13*(1+Assumptions!$B$21)),0)</f>
        <v>22</v>
      </c>
      <c r="U24" s="180">
        <f ca="1">OFFSET(U$10,0,-Assumptions!$B$8)*ROUNDUP(IF(Assumptions!$B$13&gt;=Assumptions!$B$17,Assumptions!$B$17,Assumptions!$B$13*(1+Assumptions!$B$21)),0)</f>
        <v>24</v>
      </c>
      <c r="V24" s="180">
        <f ca="1">OFFSET(V$10,0,-Assumptions!$B$8)*ROUNDUP(IF(Assumptions!$B$13&gt;=Assumptions!$B$17,Assumptions!$B$17,Assumptions!$B$13*(1+Assumptions!$B$21)),0)</f>
        <v>26</v>
      </c>
      <c r="W24" s="180">
        <f ca="1">OFFSET(W$10,0,-Assumptions!$B$8)*ROUNDUP(IF(Assumptions!$B$13&gt;=Assumptions!$B$17,Assumptions!$B$17,Assumptions!$B$13*(1+Assumptions!$B$21)),0)</f>
        <v>28</v>
      </c>
      <c r="X24" s="180">
        <f ca="1">OFFSET(X$10,0,-Assumptions!$B$8)*ROUNDUP(IF(Assumptions!$B$13&gt;=Assumptions!$B$17,Assumptions!$B$17,Assumptions!$B$13*(1+Assumptions!$B$21)),0)</f>
        <v>30</v>
      </c>
      <c r="Y24" s="180">
        <f ca="1">OFFSET(Y$10,0,-Assumptions!$B$8)*ROUNDUP(IF(Assumptions!$B$13&gt;=Assumptions!$B$17,Assumptions!$B$17,Assumptions!$B$13*(1+Assumptions!$B$21)),0)</f>
        <v>32</v>
      </c>
      <c r="Z24" s="180">
        <f ca="1">OFFSET(Z$10,0,-Assumptions!$B$8)*ROUNDUP(IF(Assumptions!$B$13&gt;=Assumptions!$B$17,Assumptions!$B$17,Assumptions!$B$13*(1+Assumptions!$B$21)),0)</f>
        <v>34</v>
      </c>
      <c r="AA24" s="180">
        <f ca="1">OFFSET(AA$10,0,-Assumptions!$B$8)*ROUNDUP(IF(Assumptions!$B$13&gt;=Assumptions!$B$17,Assumptions!$B$17,Assumptions!$B$13*(1+Assumptions!$B$21)),0)</f>
        <v>36</v>
      </c>
      <c r="AB24" s="180">
        <f ca="1">OFFSET(AB$10,0,-Assumptions!$B$8)*ROUNDUP(IF(Assumptions!$B$13&gt;=Assumptions!$B$17,Assumptions!$B$17,Assumptions!$B$13*(1+Assumptions!$B$21)),0)</f>
        <v>38</v>
      </c>
      <c r="AC24" s="180">
        <f ca="1">OFFSET(AC$10,0,-Assumptions!$B$8)*ROUNDUP(IF(Assumptions!$B$13&gt;=Assumptions!$B$17,Assumptions!$B$17,Assumptions!$B$13*(1+Assumptions!$B$21)),0)</f>
        <v>40</v>
      </c>
      <c r="AD24" s="180">
        <f ca="1">OFFSET(AD$10,0,-Assumptions!$B$8)*ROUNDUP(IF(Assumptions!$B$13&gt;=Assumptions!$B$17,Assumptions!$B$17,Assumptions!$B$13*(1+Assumptions!$B$21)),0)</f>
        <v>42</v>
      </c>
      <c r="AE24" s="180">
        <f ca="1">OFFSET(AE$10,0,-Assumptions!$B$8)*ROUNDUP(IF(Assumptions!$B$13&gt;=Assumptions!$B$17,Assumptions!$B$17,Assumptions!$B$13*(1+Assumptions!$B$21)),0)</f>
        <v>44</v>
      </c>
      <c r="AF24" s="180">
        <f ca="1">OFFSET(AF$10,0,-Assumptions!$B$8)*ROUNDUP(IF(Assumptions!$B$13&gt;=Assumptions!$B$17,Assumptions!$B$17,Assumptions!$B$13*(1+Assumptions!$B$21)),0)</f>
        <v>46</v>
      </c>
      <c r="AG24" s="180">
        <f ca="1">OFFSET(AG$10,0,-Assumptions!$B$8)*ROUNDUP(IF(Assumptions!$B$13&gt;=Assumptions!$B$17,Assumptions!$B$17,Assumptions!$B$13*(1+Assumptions!$B$21)),0)</f>
        <v>48</v>
      </c>
      <c r="AH24" s="180">
        <f ca="1">OFFSET(AH$10,0,-Assumptions!$B$8)*ROUNDUP(IF(Assumptions!$B$13&gt;=Assumptions!$B$17,Assumptions!$B$17,Assumptions!$B$13*(1+Assumptions!$B$21)),0)</f>
        <v>50</v>
      </c>
      <c r="AI24" s="180">
        <f ca="1">OFFSET(AI$10,0,-Assumptions!$B$8)*ROUNDUP(IF(Assumptions!$B$13&gt;=Assumptions!$B$17,Assumptions!$B$17,Assumptions!$B$13*(1+Assumptions!$B$21)),0)</f>
        <v>52</v>
      </c>
      <c r="AJ24" s="180">
        <f ca="1">OFFSET(AJ$10,0,-Assumptions!$B$8)*ROUNDUP(IF(Assumptions!$B$13&gt;=Assumptions!$B$17,Assumptions!$B$17,Assumptions!$B$13*(1+Assumptions!$B$21)),0)</f>
        <v>54</v>
      </c>
      <c r="AK24" s="180">
        <f ca="1">OFFSET(AK$10,0,-Assumptions!$B$8)*ROUNDUP(IF(Assumptions!$B$13&gt;=Assumptions!$B$17,Assumptions!$B$17,Assumptions!$B$13*(1+Assumptions!$B$21)),0)</f>
        <v>56</v>
      </c>
      <c r="AL24" s="180">
        <f ca="1">OFFSET(AL$10,0,-Assumptions!$B$8)*ROUNDUP(IF(Assumptions!$B$13&gt;=Assumptions!$B$17,Assumptions!$B$17,Assumptions!$B$13*(1+Assumptions!$B$21)),0)</f>
        <v>58</v>
      </c>
      <c r="AM24" s="180">
        <f ca="1">OFFSET(AM$10,0,-Assumptions!$B$8)*ROUNDUP(IF(Assumptions!$B$13&gt;=Assumptions!$B$17,Assumptions!$B$17,Assumptions!$B$13*(1+Assumptions!$B$21)),0)</f>
        <v>60</v>
      </c>
      <c r="AN24" s="180">
        <f ca="1">OFFSET(AN$10,0,-Assumptions!$B$8)*ROUNDUP(IF(Assumptions!$B$13&gt;=Assumptions!$B$17,Assumptions!$B$17,Assumptions!$B$13*(1+Assumptions!$B$21)),0)</f>
        <v>62</v>
      </c>
      <c r="AO24" s="180">
        <f ca="1">OFFSET(AO$10,0,-Assumptions!$B$8)*ROUNDUP(IF(Assumptions!$B$13&gt;=Assumptions!$B$17,Assumptions!$B$17,Assumptions!$B$13*(1+Assumptions!$B$21)),0)</f>
        <v>64</v>
      </c>
      <c r="AP24" s="180">
        <f ca="1">OFFSET(AP$10,0,-Assumptions!$B$8)*ROUNDUP(IF(Assumptions!$B$13&gt;=Assumptions!$B$17,Assumptions!$B$17,Assumptions!$B$13*(1+Assumptions!$B$21)),0)</f>
        <v>66</v>
      </c>
      <c r="AQ24" s="180">
        <f ca="1">OFFSET(AQ$10,0,-Assumptions!$B$8)*ROUNDUP(IF(Assumptions!$B$13&gt;=Assumptions!$B$17,Assumptions!$B$17,Assumptions!$B$13*(1+Assumptions!$B$21)),0)</f>
        <v>68</v>
      </c>
      <c r="AR24" s="180">
        <f ca="1">OFFSET(AR$10,0,-Assumptions!$B$8)*ROUNDUP(IF(Assumptions!$B$13&gt;=Assumptions!$B$17,Assumptions!$B$17,Assumptions!$B$13*(1+Assumptions!$B$21)),0)</f>
        <v>70</v>
      </c>
      <c r="AS24" s="180">
        <f ca="1">OFFSET(AS$10,0,-Assumptions!$B$8)*ROUNDUP(IF(Assumptions!$B$13&gt;=Assumptions!$B$17,Assumptions!$B$17,Assumptions!$B$13*(1+Assumptions!$B$21)),0)</f>
        <v>72</v>
      </c>
      <c r="AT24" s="180">
        <f ca="1">OFFSET(AT$10,0,-Assumptions!$B$8)*ROUNDUP(IF(Assumptions!$B$13&gt;=Assumptions!$B$17,Assumptions!$B$17,Assumptions!$B$13*(1+Assumptions!$B$21)),0)</f>
        <v>74</v>
      </c>
      <c r="AU24" s="180">
        <f ca="1">OFFSET(AU$10,0,-Assumptions!$B$8)*ROUNDUP(IF(Assumptions!$B$13&gt;=Assumptions!$B$17,Assumptions!$B$17,Assumptions!$B$13*(1+Assumptions!$B$21)),0)</f>
        <v>76</v>
      </c>
      <c r="AV24" s="180">
        <f ca="1">OFFSET(AV$10,0,-Assumptions!$B$8)*ROUNDUP(IF(Assumptions!$B$13&gt;=Assumptions!$B$17,Assumptions!$B$17,Assumptions!$B$13*(1+Assumptions!$B$21)),0)</f>
        <v>78</v>
      </c>
      <c r="AW24" s="180">
        <f ca="1">OFFSET(AW$10,0,-Assumptions!$B$8)*ROUNDUP(IF(Assumptions!$B$13&gt;=Assumptions!$B$17,Assumptions!$B$17,Assumptions!$B$13*(1+Assumptions!$B$21)),0)</f>
        <v>80</v>
      </c>
      <c r="AX24" s="180">
        <f ca="1">OFFSET(AX$10,0,-Assumptions!$B$8)*ROUNDUP(IF(Assumptions!$B$13&gt;=Assumptions!$B$17,Assumptions!$B$17,Assumptions!$B$13*(1+Assumptions!$B$21)),0)</f>
        <v>82</v>
      </c>
      <c r="AY24" s="180">
        <f ca="1">OFFSET(AY$10,0,-Assumptions!$B$8)*ROUNDUP(IF(Assumptions!$B$13&gt;=Assumptions!$B$17,Assumptions!$B$17,Assumptions!$B$13*(1+Assumptions!$B$21)),0)</f>
        <v>84</v>
      </c>
      <c r="AZ24" s="180">
        <f ca="1">OFFSET(AZ$10,0,-Assumptions!$B$8)*ROUNDUP(IF(Assumptions!$B$13&gt;=Assumptions!$B$17,Assumptions!$B$17,Assumptions!$B$13*(1+Assumptions!$B$21)),0)</f>
        <v>86</v>
      </c>
      <c r="BA24" s="180">
        <f ca="1">OFFSET(BA$10,0,-Assumptions!$B$8)*ROUNDUP(IF(Assumptions!$B$13&gt;=Assumptions!$B$17,Assumptions!$B$17,Assumptions!$B$13*(1+Assumptions!$B$21)),0)</f>
        <v>88</v>
      </c>
      <c r="BB24" s="180">
        <f ca="1">OFFSET(BB$10,0,-Assumptions!$B$8)*ROUNDUP(IF(Assumptions!$B$13&gt;=Assumptions!$B$17,Assumptions!$B$17,Assumptions!$B$13*(1+Assumptions!$B$21)),0)</f>
        <v>90</v>
      </c>
      <c r="BC24" s="180">
        <f ca="1">OFFSET(BC$10,0,-Assumptions!$B$8)*ROUNDUP(IF(Assumptions!$B$13&gt;=Assumptions!$B$17,Assumptions!$B$17,Assumptions!$B$13*(1+Assumptions!$B$21)),0)</f>
        <v>92</v>
      </c>
      <c r="BD24" s="180">
        <f ca="1">OFFSET(BD$10,0,-Assumptions!$B$8)*ROUNDUP(IF(Assumptions!$B$13&gt;=Assumptions!$B$17,Assumptions!$B$17,Assumptions!$B$13*(1+Assumptions!$B$21)),0)</f>
        <v>94</v>
      </c>
      <c r="BE24" s="180">
        <f ca="1">OFFSET(BE$10,0,-Assumptions!$B$8)*ROUNDUP(IF(Assumptions!$B$13&gt;=Assumptions!$B$17,Assumptions!$B$17,Assumptions!$B$13*(1+Assumptions!$B$21)),0)</f>
        <v>96</v>
      </c>
      <c r="BF24" s="180">
        <f ca="1">OFFSET(BF$10,0,-Assumptions!$B$8)*ROUNDUP(IF(Assumptions!$B$13&gt;=Assumptions!$B$17,Assumptions!$B$17,Assumptions!$B$13*(1+Assumptions!$B$21)),0)</f>
        <v>98</v>
      </c>
      <c r="BG24" s="180">
        <f ca="1">OFFSET(BG$10,0,-Assumptions!$B$8)*ROUNDUP(IF(Assumptions!$B$13&gt;=Assumptions!$B$17,Assumptions!$B$17,Assumptions!$B$13*(1+Assumptions!$B$21)),0)</f>
        <v>100</v>
      </c>
      <c r="BH24" s="180">
        <f ca="1">OFFSET(BH$10,0,-Assumptions!$B$8)*ROUNDUP(IF(Assumptions!$B$13&gt;=Assumptions!$B$17,Assumptions!$B$17,Assumptions!$B$13*(1+Assumptions!$B$21)),0)</f>
        <v>102</v>
      </c>
      <c r="BI24" s="180">
        <f ca="1">OFFSET(BI$10,0,-Assumptions!$B$8)*ROUNDUP(IF(Assumptions!$B$13&gt;=Assumptions!$B$17,Assumptions!$B$17,Assumptions!$B$13*(1+Assumptions!$B$21)),0)</f>
        <v>104</v>
      </c>
      <c r="BJ24" s="180">
        <f ca="1">OFFSET(BJ$10,0,-Assumptions!$B$8)*ROUNDUP(IF(Assumptions!$B$13&gt;=Assumptions!$B$17,Assumptions!$B$17,Assumptions!$B$13*(1+Assumptions!$B$21)),0)</f>
        <v>106</v>
      </c>
      <c r="BK24" s="180">
        <f ca="1">OFFSET(BK$10,0,-Assumptions!$B$8)*ROUNDUP(IF(Assumptions!$B$13&gt;=Assumptions!$B$17,Assumptions!$B$17,Assumptions!$B$13*(1+Assumptions!$B$21)),0)</f>
        <v>108</v>
      </c>
      <c r="BL24" s="180">
        <f ca="1">OFFSET(BL$10,0,-Assumptions!$B$8)*ROUNDUP(IF(Assumptions!$B$13&gt;=Assumptions!$B$17,Assumptions!$B$17,Assumptions!$B$13*(1+Assumptions!$B$21)),0)</f>
        <v>110</v>
      </c>
      <c r="BM24" s="180">
        <f ca="1">OFFSET(BM$10,0,-Assumptions!$B$8)*ROUNDUP(IF(Assumptions!$B$13&gt;=Assumptions!$B$17,Assumptions!$B$17,Assumptions!$B$13*(1+Assumptions!$B$21)),0)</f>
        <v>112</v>
      </c>
      <c r="BN24" s="180">
        <f ca="1">OFFSET(BN$10,0,-Assumptions!$B$8)*ROUNDUP(IF(Assumptions!$B$13&gt;=Assumptions!$B$17,Assumptions!$B$17,Assumptions!$B$13*(1+Assumptions!$B$21)),0)</f>
        <v>114</v>
      </c>
      <c r="BO24" s="180">
        <f ca="1">OFFSET(BO$10,0,-Assumptions!$B$8)*ROUNDUP(IF(Assumptions!$B$13&gt;=Assumptions!$B$17,Assumptions!$B$17,Assumptions!$B$13*(1+Assumptions!$B$21)),0)</f>
        <v>116</v>
      </c>
    </row>
    <row r="25" spans="1:67" s="47" customFormat="1" x14ac:dyDescent="0.25">
      <c r="A25" s="181" t="s">
        <v>181</v>
      </c>
      <c r="B25" s="182"/>
      <c r="C25" s="183"/>
      <c r="D25" s="165">
        <v>0</v>
      </c>
      <c r="E25" s="165">
        <v>0</v>
      </c>
      <c r="F25" s="165">
        <v>0</v>
      </c>
      <c r="G25" s="165">
        <v>0</v>
      </c>
      <c r="H25" s="184">
        <f ca="1">H24*Assumptions!$F$11</f>
        <v>1919.9999999999998</v>
      </c>
      <c r="I25" s="184">
        <f ca="1">I24*Assumptions!$F$11</f>
        <v>1919.9999999999998</v>
      </c>
      <c r="J25" s="184">
        <f ca="1">J24*Assumptions!$F$11</f>
        <v>1919.9999999999998</v>
      </c>
      <c r="K25" s="184">
        <f ca="1">K24*Assumptions!$F$11</f>
        <v>3839.9999999999995</v>
      </c>
      <c r="L25" s="184">
        <f ca="1">L24*Assumptions!$F$11</f>
        <v>5759.9999999999991</v>
      </c>
      <c r="M25" s="184">
        <f ca="1">M24*Assumptions!$F$11</f>
        <v>7679.9999999999991</v>
      </c>
      <c r="N25" s="184">
        <f ca="1">N24*Assumptions!$F$11</f>
        <v>9599.9999999999982</v>
      </c>
      <c r="O25" s="184">
        <f ca="1">O24*Assumptions!$F$11</f>
        <v>11519.999999999998</v>
      </c>
      <c r="P25" s="184">
        <f ca="1">P24*Assumptions!$F$11</f>
        <v>13439.999999999998</v>
      </c>
      <c r="Q25" s="184">
        <f ca="1">Q24*Assumptions!$F$11</f>
        <v>15359.999999999998</v>
      </c>
      <c r="R25" s="184">
        <f ca="1">R24*Assumptions!$F$11</f>
        <v>17279.999999999996</v>
      </c>
      <c r="S25" s="184">
        <f ca="1">S24*Assumptions!$F$11</f>
        <v>19199.999999999996</v>
      </c>
      <c r="T25" s="184">
        <f ca="1">T24*Assumptions!$F$11</f>
        <v>21119.999999999996</v>
      </c>
      <c r="U25" s="184">
        <f ca="1">U24*Assumptions!$F$11</f>
        <v>23039.999999999996</v>
      </c>
      <c r="V25" s="184">
        <f ca="1">V24*Assumptions!$F$11</f>
        <v>24959.999999999996</v>
      </c>
      <c r="W25" s="184">
        <f ca="1">W24*Assumptions!$F$11</f>
        <v>26879.999999999996</v>
      </c>
      <c r="X25" s="184">
        <f ca="1">X24*Assumptions!$F$11</f>
        <v>28799.999999999996</v>
      </c>
      <c r="Y25" s="184">
        <f ca="1">Y24*Assumptions!$F$11</f>
        <v>30719.999999999996</v>
      </c>
      <c r="Z25" s="184">
        <f ca="1">Z24*Assumptions!$F$11</f>
        <v>32639.999999999996</v>
      </c>
      <c r="AA25" s="184">
        <f ca="1">AA24*Assumptions!$F$11</f>
        <v>34559.999999999993</v>
      </c>
      <c r="AB25" s="184">
        <f ca="1">AB24*Assumptions!$F$11</f>
        <v>36479.999999999993</v>
      </c>
      <c r="AC25" s="184">
        <f ca="1">AC24*Assumptions!$F$11</f>
        <v>38399.999999999993</v>
      </c>
      <c r="AD25" s="184">
        <f ca="1">AD24*Assumptions!$F$11</f>
        <v>40319.999999999993</v>
      </c>
      <c r="AE25" s="184">
        <f ca="1">AE24*Assumptions!$F$11</f>
        <v>42239.999999999993</v>
      </c>
      <c r="AF25" s="184">
        <f ca="1">AF24*Assumptions!$F$11</f>
        <v>44159.999999999993</v>
      </c>
      <c r="AG25" s="184">
        <f ca="1">AG24*Assumptions!$F$11</f>
        <v>46079.999999999993</v>
      </c>
      <c r="AH25" s="184">
        <f ca="1">AH24*Assumptions!$F$11</f>
        <v>47999.999999999993</v>
      </c>
      <c r="AI25" s="184">
        <f ca="1">AI24*Assumptions!$F$11</f>
        <v>49919.999999999993</v>
      </c>
      <c r="AJ25" s="184">
        <f ca="1">AJ24*Assumptions!$F$11</f>
        <v>51839.999999999993</v>
      </c>
      <c r="AK25" s="184">
        <f ca="1">AK24*Assumptions!$F$11</f>
        <v>53759.999999999993</v>
      </c>
      <c r="AL25" s="184">
        <f ca="1">AL24*Assumptions!$F$11</f>
        <v>55679.999999999993</v>
      </c>
      <c r="AM25" s="184">
        <f ca="1">AM24*Assumptions!$F$11</f>
        <v>57599.999999999993</v>
      </c>
      <c r="AN25" s="184">
        <f ca="1">AN24*Assumptions!$F$11</f>
        <v>59519.999999999993</v>
      </c>
      <c r="AO25" s="184">
        <f ca="1">AO24*Assumptions!$F$11</f>
        <v>61439.999999999993</v>
      </c>
      <c r="AP25" s="184">
        <f ca="1">AP24*Assumptions!$F$11</f>
        <v>63359.999999999993</v>
      </c>
      <c r="AQ25" s="184">
        <f ca="1">AQ24*Assumptions!$F$11</f>
        <v>65279.999999999993</v>
      </c>
      <c r="AR25" s="184">
        <f ca="1">AR24*Assumptions!$F$11</f>
        <v>67199.999999999985</v>
      </c>
      <c r="AS25" s="184">
        <f ca="1">AS24*Assumptions!$F$11</f>
        <v>69119.999999999985</v>
      </c>
      <c r="AT25" s="184">
        <f ca="1">AT24*Assumptions!$F$11</f>
        <v>71039.999999999985</v>
      </c>
      <c r="AU25" s="184">
        <f ca="1">AU24*Assumptions!$F$11</f>
        <v>72959.999999999985</v>
      </c>
      <c r="AV25" s="184">
        <f ca="1">AV24*Assumptions!$F$11</f>
        <v>74879.999999999985</v>
      </c>
      <c r="AW25" s="184">
        <f ca="1">AW24*Assumptions!$F$11</f>
        <v>76799.999999999985</v>
      </c>
      <c r="AX25" s="184">
        <f ca="1">AX24*Assumptions!$F$11</f>
        <v>78719.999999999985</v>
      </c>
      <c r="AY25" s="184">
        <f ca="1">AY24*Assumptions!$F$11</f>
        <v>80639.999999999985</v>
      </c>
      <c r="AZ25" s="184">
        <f ca="1">AZ24*Assumptions!$F$11</f>
        <v>82559.999999999985</v>
      </c>
      <c r="BA25" s="184">
        <f ca="1">BA24*Assumptions!$F$11</f>
        <v>84479.999999999985</v>
      </c>
      <c r="BB25" s="184">
        <f ca="1">BB24*Assumptions!$F$11</f>
        <v>86399.999999999985</v>
      </c>
      <c r="BC25" s="184">
        <f ca="1">BC24*Assumptions!$F$11</f>
        <v>88319.999999999985</v>
      </c>
      <c r="BD25" s="184">
        <f ca="1">BD24*Assumptions!$F$11</f>
        <v>90239.999999999985</v>
      </c>
      <c r="BE25" s="184">
        <f ca="1">BE24*Assumptions!$F$11</f>
        <v>92159.999999999985</v>
      </c>
      <c r="BF25" s="184">
        <f ca="1">BF24*Assumptions!$F$11</f>
        <v>94079.999999999985</v>
      </c>
      <c r="BG25" s="184">
        <f ca="1">BG24*Assumptions!$F$11</f>
        <v>95999.999999999985</v>
      </c>
      <c r="BH25" s="184">
        <f ca="1">BH24*Assumptions!$F$11</f>
        <v>97919.999999999985</v>
      </c>
      <c r="BI25" s="184">
        <f ca="1">BI24*Assumptions!$F$11</f>
        <v>99839.999999999985</v>
      </c>
      <c r="BJ25" s="184">
        <f ca="1">BJ24*Assumptions!$F$11</f>
        <v>101759.99999999999</v>
      </c>
      <c r="BK25" s="184">
        <f ca="1">BK24*Assumptions!$F$11</f>
        <v>103679.99999999999</v>
      </c>
      <c r="BL25" s="184">
        <f ca="1">BL24*Assumptions!$F$11</f>
        <v>105599.99999999999</v>
      </c>
      <c r="BM25" s="184">
        <f ca="1">BM24*Assumptions!$F$11</f>
        <v>107519.99999999999</v>
      </c>
      <c r="BN25" s="184">
        <f ca="1">BN24*Assumptions!$F$11</f>
        <v>109439.99999999999</v>
      </c>
      <c r="BO25" s="184">
        <f ca="1">BO24*Assumptions!$F$11</f>
        <v>111359.99999999999</v>
      </c>
    </row>
    <row r="26" spans="1:67" x14ac:dyDescent="0.25">
      <c r="A26" s="179"/>
      <c r="D26" s="165"/>
      <c r="E26" s="165"/>
      <c r="F26" s="165"/>
      <c r="G26" s="165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</row>
    <row r="27" spans="1:67" x14ac:dyDescent="0.25">
      <c r="A27" s="178" t="s">
        <v>235</v>
      </c>
    </row>
    <row r="28" spans="1:67" x14ac:dyDescent="0.25">
      <c r="A28" s="179" t="s">
        <v>178</v>
      </c>
      <c r="D28" s="165">
        <v>0</v>
      </c>
      <c r="E28" s="165">
        <v>0</v>
      </c>
      <c r="F28" s="165">
        <v>0</v>
      </c>
      <c r="G28" s="165">
        <v>0</v>
      </c>
      <c r="H28" s="180">
        <f ca="1">OFFSET(H$10,0,-Assumptions!$B$8)*ROUNDUP(Assumptions!$B$13*(Assumptions!$B$25),0)</f>
        <v>1</v>
      </c>
      <c r="I28" s="180">
        <f ca="1">OFFSET(I$10,0,-Assumptions!$B$8)*ROUNDUP(Assumptions!$B$13*(Assumptions!$B$25),0)</f>
        <v>1</v>
      </c>
      <c r="J28" s="180">
        <f ca="1">OFFSET(J$10,0,-Assumptions!$B$8)*ROUNDUP(Assumptions!$B$13*(Assumptions!$B$25),0)</f>
        <v>1</v>
      </c>
      <c r="K28" s="180">
        <f ca="1">OFFSET(K$10,0,-Assumptions!$B$8)*ROUNDUP(Assumptions!$B$13*(Assumptions!$B$25),0)</f>
        <v>2</v>
      </c>
      <c r="L28" s="180">
        <f ca="1">OFFSET(L$10,0,-Assumptions!$B$8)*ROUNDUP(Assumptions!$B$13*(Assumptions!$B$25),0)</f>
        <v>3</v>
      </c>
      <c r="M28" s="180">
        <f ca="1">OFFSET(M$10,0,-Assumptions!$B$8)*ROUNDUP(Assumptions!$B$13*(Assumptions!$B$25),0)</f>
        <v>4</v>
      </c>
      <c r="N28" s="180">
        <f ca="1">OFFSET(N$10,0,-Assumptions!$B$8)*ROUNDUP(Assumptions!$B$13*(Assumptions!$B$25),0)</f>
        <v>5</v>
      </c>
      <c r="O28" s="180">
        <f ca="1">OFFSET(O$10,0,-Assumptions!$B$8)*ROUNDUP(Assumptions!$B$13*(Assumptions!$B$25),0)</f>
        <v>6</v>
      </c>
      <c r="P28" s="180">
        <f ca="1">OFFSET(P$10,0,-Assumptions!$B$8)*ROUNDUP(Assumptions!$B$13*(Assumptions!$B$25),0)</f>
        <v>7</v>
      </c>
      <c r="Q28" s="180">
        <f ca="1">OFFSET(Q$10,0,-Assumptions!$B$8)*ROUNDUP(Assumptions!$B$13*(Assumptions!$B$25),0)</f>
        <v>8</v>
      </c>
      <c r="R28" s="180">
        <f ca="1">OFFSET(R$10,0,-Assumptions!$B$8)*ROUNDUP(Assumptions!$B$13*(Assumptions!$B$25),0)</f>
        <v>9</v>
      </c>
      <c r="S28" s="180">
        <f ca="1">OFFSET(S$10,0,-Assumptions!$B$8)*ROUNDUP(Assumptions!$B$13*(Assumptions!$B$25),0)</f>
        <v>10</v>
      </c>
      <c r="T28" s="180">
        <f ca="1">OFFSET(T$10,0,-Assumptions!$B$8)*ROUNDUP(Assumptions!$B$13*(Assumptions!$B$25),0)</f>
        <v>11</v>
      </c>
      <c r="U28" s="180">
        <f ca="1">OFFSET(U$10,0,-Assumptions!$B$8)*ROUNDUP(Assumptions!$B$13*(Assumptions!$B$25),0)</f>
        <v>12</v>
      </c>
      <c r="V28" s="180">
        <f ca="1">OFFSET(V$10,0,-Assumptions!$B$8)*ROUNDUP(Assumptions!$B$13*(Assumptions!$B$25),0)</f>
        <v>13</v>
      </c>
      <c r="W28" s="180">
        <f ca="1">OFFSET(W$10,0,-Assumptions!$B$8)*ROUNDUP(Assumptions!$B$13*(Assumptions!$B$25),0)</f>
        <v>14</v>
      </c>
      <c r="X28" s="180">
        <f ca="1">OFFSET(X$10,0,-Assumptions!$B$8)*ROUNDUP(Assumptions!$B$13*(Assumptions!$B$25),0)</f>
        <v>15</v>
      </c>
      <c r="Y28" s="180">
        <f ca="1">OFFSET(Y$10,0,-Assumptions!$B$8)*ROUNDUP(Assumptions!$B$13*(Assumptions!$B$25),0)</f>
        <v>16</v>
      </c>
      <c r="Z28" s="180">
        <f ca="1">OFFSET(Z$10,0,-Assumptions!$B$8)*ROUNDUP(Assumptions!$B$13*(Assumptions!$B$25),0)</f>
        <v>17</v>
      </c>
      <c r="AA28" s="180">
        <f ca="1">OFFSET(AA$10,0,-Assumptions!$B$8)*ROUNDUP(Assumptions!$B$13*(Assumptions!$B$25),0)</f>
        <v>18</v>
      </c>
      <c r="AB28" s="180">
        <f ca="1">OFFSET(AB$10,0,-Assumptions!$B$8)*ROUNDUP(Assumptions!$B$13*(Assumptions!$B$25),0)</f>
        <v>19</v>
      </c>
      <c r="AC28" s="180">
        <f ca="1">OFFSET(AC$10,0,-Assumptions!$B$8)*ROUNDUP(Assumptions!$B$13*(Assumptions!$B$25),0)</f>
        <v>20</v>
      </c>
      <c r="AD28" s="180">
        <f ca="1">OFFSET(AD$10,0,-Assumptions!$B$8)*ROUNDUP(Assumptions!$B$13*(Assumptions!$B$25),0)</f>
        <v>21</v>
      </c>
      <c r="AE28" s="180">
        <f ca="1">OFFSET(AE$10,0,-Assumptions!$B$8)*ROUNDUP(Assumptions!$B$13*(Assumptions!$B$25),0)</f>
        <v>22</v>
      </c>
      <c r="AF28" s="180">
        <f ca="1">OFFSET(AF$10,0,-Assumptions!$B$8)*ROUNDUP(Assumptions!$B$13*(Assumptions!$B$25),0)</f>
        <v>23</v>
      </c>
      <c r="AG28" s="180">
        <f ca="1">OFFSET(AG$10,0,-Assumptions!$B$8)*ROUNDUP(Assumptions!$B$13*(Assumptions!$B$25),0)</f>
        <v>24</v>
      </c>
      <c r="AH28" s="180">
        <f ca="1">OFFSET(AH$10,0,-Assumptions!$B$8)*ROUNDUP(Assumptions!$B$13*(Assumptions!$B$25),0)</f>
        <v>25</v>
      </c>
      <c r="AI28" s="180">
        <f ca="1">OFFSET(AI$10,0,-Assumptions!$B$8)*ROUNDUP(Assumptions!$B$13*(Assumptions!$B$25),0)</f>
        <v>26</v>
      </c>
      <c r="AJ28" s="180">
        <f ca="1">OFFSET(AJ$10,0,-Assumptions!$B$8)*ROUNDUP(Assumptions!$B$13*(Assumptions!$B$25),0)</f>
        <v>27</v>
      </c>
      <c r="AK28" s="180">
        <f ca="1">OFFSET(AK$10,0,-Assumptions!$B$8)*ROUNDUP(Assumptions!$B$13*(Assumptions!$B$25),0)</f>
        <v>28</v>
      </c>
      <c r="AL28" s="180">
        <f ca="1">OFFSET(AL$10,0,-Assumptions!$B$8)*ROUNDUP(Assumptions!$B$13*(Assumptions!$B$25),0)</f>
        <v>29</v>
      </c>
      <c r="AM28" s="180">
        <f ca="1">OFFSET(AM$10,0,-Assumptions!$B$8)*ROUNDUP(Assumptions!$B$13*(Assumptions!$B$25),0)</f>
        <v>30</v>
      </c>
      <c r="AN28" s="180">
        <f ca="1">OFFSET(AN$10,0,-Assumptions!$B$8)*ROUNDUP(Assumptions!$B$13*(Assumptions!$B$25),0)</f>
        <v>31</v>
      </c>
      <c r="AO28" s="180">
        <f ca="1">OFFSET(AO$10,0,-Assumptions!$B$8)*ROUNDUP(Assumptions!$B$13*(Assumptions!$B$25),0)</f>
        <v>32</v>
      </c>
      <c r="AP28" s="180">
        <f ca="1">OFFSET(AP$10,0,-Assumptions!$B$8)*ROUNDUP(Assumptions!$B$13*(Assumptions!$B$25),0)</f>
        <v>33</v>
      </c>
      <c r="AQ28" s="180">
        <f ca="1">OFFSET(AQ$10,0,-Assumptions!$B$8)*ROUNDUP(Assumptions!$B$13*(Assumptions!$B$25),0)</f>
        <v>34</v>
      </c>
      <c r="AR28" s="180">
        <f ca="1">OFFSET(AR$10,0,-Assumptions!$B$8)*ROUNDUP(Assumptions!$B$13*(Assumptions!$B$25),0)</f>
        <v>35</v>
      </c>
      <c r="AS28" s="180">
        <f ca="1">OFFSET(AS$10,0,-Assumptions!$B$8)*ROUNDUP(Assumptions!$B$13*(Assumptions!$B$25),0)</f>
        <v>36</v>
      </c>
      <c r="AT28" s="180">
        <f ca="1">OFFSET(AT$10,0,-Assumptions!$B$8)*ROUNDUP(Assumptions!$B$13*(Assumptions!$B$25),0)</f>
        <v>37</v>
      </c>
      <c r="AU28" s="180">
        <f ca="1">OFFSET(AU$10,0,-Assumptions!$B$8)*ROUNDUP(Assumptions!$B$13*(Assumptions!$B$25),0)</f>
        <v>38</v>
      </c>
      <c r="AV28" s="180">
        <f ca="1">OFFSET(AV$10,0,-Assumptions!$B$8)*ROUNDUP(Assumptions!$B$13*(Assumptions!$B$25),0)</f>
        <v>39</v>
      </c>
      <c r="AW28" s="180">
        <f ca="1">OFFSET(AW$10,0,-Assumptions!$B$8)*ROUNDUP(Assumptions!$B$13*(Assumptions!$B$25),0)</f>
        <v>40</v>
      </c>
      <c r="AX28" s="180">
        <f ca="1">OFFSET(AX$10,0,-Assumptions!$B$8)*ROUNDUP(Assumptions!$B$13*(Assumptions!$B$25),0)</f>
        <v>41</v>
      </c>
      <c r="AY28" s="180">
        <f ca="1">OFFSET(AY$10,0,-Assumptions!$B$8)*ROUNDUP(Assumptions!$B$13*(Assumptions!$B$25),0)</f>
        <v>42</v>
      </c>
      <c r="AZ28" s="180">
        <f ca="1">OFFSET(AZ$10,0,-Assumptions!$B$8)*ROUNDUP(Assumptions!$B$13*(Assumptions!$B$25),0)</f>
        <v>43</v>
      </c>
      <c r="BA28" s="180">
        <f ca="1">OFFSET(BA$10,0,-Assumptions!$B$8)*ROUNDUP(Assumptions!$B$13*(Assumptions!$B$25),0)</f>
        <v>44</v>
      </c>
      <c r="BB28" s="180">
        <f ca="1">OFFSET(BB$10,0,-Assumptions!$B$8)*ROUNDUP(Assumptions!$B$13*(Assumptions!$B$25),0)</f>
        <v>45</v>
      </c>
      <c r="BC28" s="180">
        <f ca="1">OFFSET(BC$10,0,-Assumptions!$B$8)*ROUNDUP(Assumptions!$B$13*(Assumptions!$B$25),0)</f>
        <v>46</v>
      </c>
      <c r="BD28" s="180">
        <f ca="1">OFFSET(BD$10,0,-Assumptions!$B$8)*ROUNDUP(Assumptions!$B$13*(Assumptions!$B$25),0)</f>
        <v>47</v>
      </c>
      <c r="BE28" s="180">
        <f ca="1">OFFSET(BE$10,0,-Assumptions!$B$8)*ROUNDUP(Assumptions!$B$13*(Assumptions!$B$25),0)</f>
        <v>48</v>
      </c>
      <c r="BF28" s="180">
        <f ca="1">OFFSET(BF$10,0,-Assumptions!$B$8)*ROUNDUP(Assumptions!$B$13*(Assumptions!$B$25),0)</f>
        <v>49</v>
      </c>
      <c r="BG28" s="180">
        <f ca="1">OFFSET(BG$10,0,-Assumptions!$B$8)*ROUNDUP(Assumptions!$B$13*(Assumptions!$B$25),0)</f>
        <v>50</v>
      </c>
      <c r="BH28" s="180">
        <f ca="1">OFFSET(BH$10,0,-Assumptions!$B$8)*ROUNDUP(Assumptions!$B$13*(Assumptions!$B$25),0)</f>
        <v>51</v>
      </c>
      <c r="BI28" s="180">
        <f ca="1">OFFSET(BI$10,0,-Assumptions!$B$8)*ROUNDUP(Assumptions!$B$13*(Assumptions!$B$25),0)</f>
        <v>52</v>
      </c>
      <c r="BJ28" s="180">
        <f ca="1">OFFSET(BJ$10,0,-Assumptions!$B$8)*ROUNDUP(Assumptions!$B$13*(Assumptions!$B$25),0)</f>
        <v>53</v>
      </c>
      <c r="BK28" s="180">
        <f ca="1">OFFSET(BK$10,0,-Assumptions!$B$8)*ROUNDUP(Assumptions!$B$13*(Assumptions!$B$25),0)</f>
        <v>54</v>
      </c>
      <c r="BL28" s="180">
        <f ca="1">OFFSET(BL$10,0,-Assumptions!$B$8)*ROUNDUP(Assumptions!$B$13*(Assumptions!$B$25),0)</f>
        <v>55</v>
      </c>
      <c r="BM28" s="180">
        <f ca="1">OFFSET(BM$10,0,-Assumptions!$B$8)*ROUNDUP(Assumptions!$B$13*(Assumptions!$B$25),0)</f>
        <v>56</v>
      </c>
      <c r="BN28" s="180">
        <f ca="1">OFFSET(BN$10,0,-Assumptions!$B$8)*ROUNDUP(Assumptions!$B$13*(Assumptions!$B$25),0)</f>
        <v>57</v>
      </c>
      <c r="BO28" s="180">
        <f ca="1">OFFSET(BO$10,0,-Assumptions!$B$8)*ROUNDUP(Assumptions!$B$13*(Assumptions!$B$25),0)</f>
        <v>58</v>
      </c>
    </row>
    <row r="29" spans="1:67" s="47" customFormat="1" x14ac:dyDescent="0.25">
      <c r="A29" s="181" t="s">
        <v>181</v>
      </c>
      <c r="B29" s="182"/>
      <c r="C29" s="183"/>
      <c r="D29" s="165">
        <v>0</v>
      </c>
      <c r="E29" s="165">
        <v>0</v>
      </c>
      <c r="F29" s="165">
        <v>0</v>
      </c>
      <c r="G29" s="165">
        <v>0</v>
      </c>
      <c r="H29" s="184">
        <f ca="1">H28*Assumptions!$F$11</f>
        <v>959.99999999999989</v>
      </c>
      <c r="I29" s="184">
        <f ca="1">I28*Assumptions!$F$11</f>
        <v>959.99999999999989</v>
      </c>
      <c r="J29" s="184">
        <f ca="1">J28*Assumptions!$F$11</f>
        <v>959.99999999999989</v>
      </c>
      <c r="K29" s="184">
        <f ca="1">K28*Assumptions!$F$11</f>
        <v>1919.9999999999998</v>
      </c>
      <c r="L29" s="184">
        <f ca="1">L28*Assumptions!$F$11</f>
        <v>2879.9999999999995</v>
      </c>
      <c r="M29" s="184">
        <f ca="1">M28*Assumptions!$F$11</f>
        <v>3839.9999999999995</v>
      </c>
      <c r="N29" s="184">
        <f ca="1">N28*Assumptions!$F$11</f>
        <v>4799.9999999999991</v>
      </c>
      <c r="O29" s="184">
        <f ca="1">O28*Assumptions!$F$11</f>
        <v>5759.9999999999991</v>
      </c>
      <c r="P29" s="184">
        <f ca="1">P28*Assumptions!$F$11</f>
        <v>6719.9999999999991</v>
      </c>
      <c r="Q29" s="184">
        <f ca="1">Q28*Assumptions!$F$11</f>
        <v>7679.9999999999991</v>
      </c>
      <c r="R29" s="184">
        <f ca="1">R28*Assumptions!$F$11</f>
        <v>8639.9999999999982</v>
      </c>
      <c r="S29" s="184">
        <f ca="1">S28*Assumptions!$F$11</f>
        <v>9599.9999999999982</v>
      </c>
      <c r="T29" s="184">
        <f ca="1">T28*Assumptions!$F$11</f>
        <v>10559.999999999998</v>
      </c>
      <c r="U29" s="184">
        <f ca="1">U28*Assumptions!$F$11</f>
        <v>11519.999999999998</v>
      </c>
      <c r="V29" s="184">
        <f ca="1">V28*Assumptions!$F$11</f>
        <v>12479.999999999998</v>
      </c>
      <c r="W29" s="184">
        <f ca="1">W28*Assumptions!$F$11</f>
        <v>13439.999999999998</v>
      </c>
      <c r="X29" s="184">
        <f ca="1">X28*Assumptions!$F$11</f>
        <v>14399.999999999998</v>
      </c>
      <c r="Y29" s="184">
        <f ca="1">Y28*Assumptions!$F$11</f>
        <v>15359.999999999998</v>
      </c>
      <c r="Z29" s="184">
        <f ca="1">Z28*Assumptions!$F$11</f>
        <v>16319.999999999998</v>
      </c>
      <c r="AA29" s="184">
        <f ca="1">AA28*Assumptions!$F$11</f>
        <v>17279.999999999996</v>
      </c>
      <c r="AB29" s="184">
        <f ca="1">AB28*Assumptions!$F$11</f>
        <v>18239.999999999996</v>
      </c>
      <c r="AC29" s="184">
        <f ca="1">AC28*Assumptions!$F$11</f>
        <v>19199.999999999996</v>
      </c>
      <c r="AD29" s="184">
        <f ca="1">AD28*Assumptions!$F$11</f>
        <v>20159.999999999996</v>
      </c>
      <c r="AE29" s="184">
        <f ca="1">AE28*Assumptions!$F$11</f>
        <v>21119.999999999996</v>
      </c>
      <c r="AF29" s="184">
        <f ca="1">AF28*Assumptions!$F$11</f>
        <v>22079.999999999996</v>
      </c>
      <c r="AG29" s="184">
        <f ca="1">AG28*Assumptions!$F$11</f>
        <v>23039.999999999996</v>
      </c>
      <c r="AH29" s="184">
        <f ca="1">AH28*Assumptions!$F$11</f>
        <v>23999.999999999996</v>
      </c>
      <c r="AI29" s="184">
        <f ca="1">AI28*Assumptions!$F$11</f>
        <v>24959.999999999996</v>
      </c>
      <c r="AJ29" s="184">
        <f ca="1">AJ28*Assumptions!$F$11</f>
        <v>25919.999999999996</v>
      </c>
      <c r="AK29" s="184">
        <f ca="1">AK28*Assumptions!$F$11</f>
        <v>26879.999999999996</v>
      </c>
      <c r="AL29" s="184">
        <f ca="1">AL28*Assumptions!$F$11</f>
        <v>27839.999999999996</v>
      </c>
      <c r="AM29" s="184">
        <f ca="1">AM28*Assumptions!$F$11</f>
        <v>28799.999999999996</v>
      </c>
      <c r="AN29" s="184">
        <f ca="1">AN28*Assumptions!$F$11</f>
        <v>29759.999999999996</v>
      </c>
      <c r="AO29" s="184">
        <f ca="1">AO28*Assumptions!$F$11</f>
        <v>30719.999999999996</v>
      </c>
      <c r="AP29" s="184">
        <f ca="1">AP28*Assumptions!$F$11</f>
        <v>31679.999999999996</v>
      </c>
      <c r="AQ29" s="184">
        <f ca="1">AQ28*Assumptions!$F$11</f>
        <v>32639.999999999996</v>
      </c>
      <c r="AR29" s="184">
        <f ca="1">AR28*Assumptions!$F$11</f>
        <v>33599.999999999993</v>
      </c>
      <c r="AS29" s="184">
        <f ca="1">AS28*Assumptions!$F$11</f>
        <v>34559.999999999993</v>
      </c>
      <c r="AT29" s="184">
        <f ca="1">AT28*Assumptions!$F$11</f>
        <v>35519.999999999993</v>
      </c>
      <c r="AU29" s="184">
        <f ca="1">AU28*Assumptions!$F$11</f>
        <v>36479.999999999993</v>
      </c>
      <c r="AV29" s="184">
        <f ca="1">AV28*Assumptions!$F$11</f>
        <v>37439.999999999993</v>
      </c>
      <c r="AW29" s="184">
        <f ca="1">AW28*Assumptions!$F$11</f>
        <v>38399.999999999993</v>
      </c>
      <c r="AX29" s="184">
        <f ca="1">AX28*Assumptions!$F$11</f>
        <v>39359.999999999993</v>
      </c>
      <c r="AY29" s="184">
        <f ca="1">AY28*Assumptions!$F$11</f>
        <v>40319.999999999993</v>
      </c>
      <c r="AZ29" s="184">
        <f ca="1">AZ28*Assumptions!$F$11</f>
        <v>41279.999999999993</v>
      </c>
      <c r="BA29" s="184">
        <f ca="1">BA28*Assumptions!$F$11</f>
        <v>42239.999999999993</v>
      </c>
      <c r="BB29" s="184">
        <f ca="1">BB28*Assumptions!$F$11</f>
        <v>43199.999999999993</v>
      </c>
      <c r="BC29" s="184">
        <f ca="1">BC28*Assumptions!$F$11</f>
        <v>44159.999999999993</v>
      </c>
      <c r="BD29" s="184">
        <f ca="1">BD28*Assumptions!$F$11</f>
        <v>45119.999999999993</v>
      </c>
      <c r="BE29" s="184">
        <f ca="1">BE28*Assumptions!$F$11</f>
        <v>46079.999999999993</v>
      </c>
      <c r="BF29" s="184">
        <f ca="1">BF28*Assumptions!$F$11</f>
        <v>47039.999999999993</v>
      </c>
      <c r="BG29" s="184">
        <f ca="1">BG28*Assumptions!$F$11</f>
        <v>47999.999999999993</v>
      </c>
      <c r="BH29" s="184">
        <f ca="1">BH28*Assumptions!$F$11</f>
        <v>48959.999999999993</v>
      </c>
      <c r="BI29" s="184">
        <f ca="1">BI28*Assumptions!$F$11</f>
        <v>49919.999999999993</v>
      </c>
      <c r="BJ29" s="184">
        <f ca="1">BJ28*Assumptions!$F$11</f>
        <v>50879.999999999993</v>
      </c>
      <c r="BK29" s="184">
        <f ca="1">BK28*Assumptions!$F$11</f>
        <v>51839.999999999993</v>
      </c>
      <c r="BL29" s="184">
        <f ca="1">BL28*Assumptions!$F$11</f>
        <v>52799.999999999993</v>
      </c>
      <c r="BM29" s="184">
        <f ca="1">BM28*Assumptions!$F$11</f>
        <v>53759.999999999993</v>
      </c>
      <c r="BN29" s="184">
        <f ca="1">BN28*Assumptions!$F$11</f>
        <v>54719.999999999993</v>
      </c>
      <c r="BO29" s="184">
        <f ca="1">BO28*Assumptions!$F$11</f>
        <v>55679.999999999993</v>
      </c>
    </row>
    <row r="30" spans="1:67" x14ac:dyDescent="0.25">
      <c r="D30" s="165"/>
      <c r="E30" s="165"/>
      <c r="F30" s="165"/>
      <c r="G30" s="165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</row>
    <row r="31" spans="1:67" s="173" customFormat="1" x14ac:dyDescent="0.25">
      <c r="A31" s="174" t="s">
        <v>236</v>
      </c>
      <c r="B31" s="160"/>
      <c r="C31" s="170"/>
      <c r="D31" s="170"/>
      <c r="E31" s="170"/>
      <c r="F31" s="170"/>
      <c r="G31" s="170"/>
    </row>
    <row r="32" spans="1:67" s="173" customFormat="1" x14ac:dyDescent="0.25">
      <c r="A32" s="186" t="s">
        <v>178</v>
      </c>
      <c r="B32" s="160"/>
      <c r="C32" s="170"/>
      <c r="D32" s="171">
        <f t="shared" ref="D32:AI32" si="4">(D20+D24)-D28</f>
        <v>2</v>
      </c>
      <c r="E32" s="171">
        <f t="shared" si="4"/>
        <v>2</v>
      </c>
      <c r="F32" s="171">
        <f t="shared" si="4"/>
        <v>2</v>
      </c>
      <c r="G32" s="171">
        <f t="shared" si="4"/>
        <v>2</v>
      </c>
      <c r="H32" s="172">
        <f t="shared" ca="1" si="4"/>
        <v>2</v>
      </c>
      <c r="I32" s="172">
        <f t="shared" ca="1" si="4"/>
        <v>2</v>
      </c>
      <c r="J32" s="172">
        <f t="shared" ca="1" si="4"/>
        <v>2</v>
      </c>
      <c r="K32" s="172">
        <f t="shared" ca="1" si="4"/>
        <v>3</v>
      </c>
      <c r="L32" s="172">
        <f t="shared" ca="1" si="4"/>
        <v>4</v>
      </c>
      <c r="M32" s="172">
        <f t="shared" ca="1" si="4"/>
        <v>5</v>
      </c>
      <c r="N32" s="172">
        <f t="shared" ca="1" si="4"/>
        <v>6</v>
      </c>
      <c r="O32" s="172">
        <f t="shared" ca="1" si="4"/>
        <v>7</v>
      </c>
      <c r="P32" s="172">
        <f t="shared" ca="1" si="4"/>
        <v>8</v>
      </c>
      <c r="Q32" s="172">
        <f t="shared" ca="1" si="4"/>
        <v>9</v>
      </c>
      <c r="R32" s="172">
        <f t="shared" ca="1" si="4"/>
        <v>10</v>
      </c>
      <c r="S32" s="172">
        <f t="shared" ca="1" si="4"/>
        <v>11</v>
      </c>
      <c r="T32" s="172">
        <f t="shared" ca="1" si="4"/>
        <v>12</v>
      </c>
      <c r="U32" s="172">
        <f t="shared" ca="1" si="4"/>
        <v>13</v>
      </c>
      <c r="V32" s="172">
        <f t="shared" ca="1" si="4"/>
        <v>14</v>
      </c>
      <c r="W32" s="172">
        <f t="shared" ca="1" si="4"/>
        <v>15</v>
      </c>
      <c r="X32" s="172">
        <f t="shared" ca="1" si="4"/>
        <v>16</v>
      </c>
      <c r="Y32" s="172">
        <f t="shared" ca="1" si="4"/>
        <v>17</v>
      </c>
      <c r="Z32" s="172">
        <f t="shared" ca="1" si="4"/>
        <v>18</v>
      </c>
      <c r="AA32" s="172">
        <f t="shared" ca="1" si="4"/>
        <v>19</v>
      </c>
      <c r="AB32" s="172">
        <f t="shared" ca="1" si="4"/>
        <v>20</v>
      </c>
      <c r="AC32" s="172">
        <f t="shared" ca="1" si="4"/>
        <v>21</v>
      </c>
      <c r="AD32" s="172">
        <f t="shared" ca="1" si="4"/>
        <v>22</v>
      </c>
      <c r="AE32" s="172">
        <f t="shared" ca="1" si="4"/>
        <v>23</v>
      </c>
      <c r="AF32" s="172">
        <f t="shared" ca="1" si="4"/>
        <v>24</v>
      </c>
      <c r="AG32" s="172">
        <f t="shared" ca="1" si="4"/>
        <v>25</v>
      </c>
      <c r="AH32" s="172">
        <f t="shared" ca="1" si="4"/>
        <v>26</v>
      </c>
      <c r="AI32" s="172">
        <f t="shared" ca="1" si="4"/>
        <v>27</v>
      </c>
      <c r="AJ32" s="172">
        <f t="shared" ref="AJ32:BO32" ca="1" si="5">(AJ20+AJ24)-AJ28</f>
        <v>28</v>
      </c>
      <c r="AK32" s="172">
        <f t="shared" ca="1" si="5"/>
        <v>29</v>
      </c>
      <c r="AL32" s="172">
        <f t="shared" ca="1" si="5"/>
        <v>30</v>
      </c>
      <c r="AM32" s="172">
        <f t="shared" ca="1" si="5"/>
        <v>31</v>
      </c>
      <c r="AN32" s="172">
        <f t="shared" ca="1" si="5"/>
        <v>32</v>
      </c>
      <c r="AO32" s="172">
        <f t="shared" ca="1" si="5"/>
        <v>33</v>
      </c>
      <c r="AP32" s="172">
        <f t="shared" ca="1" si="5"/>
        <v>34</v>
      </c>
      <c r="AQ32" s="172">
        <f t="shared" ca="1" si="5"/>
        <v>35</v>
      </c>
      <c r="AR32" s="172">
        <f t="shared" ca="1" si="5"/>
        <v>36</v>
      </c>
      <c r="AS32" s="172">
        <f t="shared" ca="1" si="5"/>
        <v>37</v>
      </c>
      <c r="AT32" s="172">
        <f t="shared" ca="1" si="5"/>
        <v>38</v>
      </c>
      <c r="AU32" s="172">
        <f t="shared" ca="1" si="5"/>
        <v>39</v>
      </c>
      <c r="AV32" s="172">
        <f t="shared" ca="1" si="5"/>
        <v>40</v>
      </c>
      <c r="AW32" s="172">
        <f t="shared" ca="1" si="5"/>
        <v>41</v>
      </c>
      <c r="AX32" s="172">
        <f t="shared" ca="1" si="5"/>
        <v>42</v>
      </c>
      <c r="AY32" s="172">
        <f t="shared" ca="1" si="5"/>
        <v>43</v>
      </c>
      <c r="AZ32" s="172">
        <f t="shared" ca="1" si="5"/>
        <v>44</v>
      </c>
      <c r="BA32" s="172">
        <f t="shared" ca="1" si="5"/>
        <v>45</v>
      </c>
      <c r="BB32" s="172">
        <f t="shared" ca="1" si="5"/>
        <v>46</v>
      </c>
      <c r="BC32" s="172">
        <f t="shared" ca="1" si="5"/>
        <v>47</v>
      </c>
      <c r="BD32" s="172">
        <f t="shared" ca="1" si="5"/>
        <v>48</v>
      </c>
      <c r="BE32" s="172">
        <f t="shared" ca="1" si="5"/>
        <v>49</v>
      </c>
      <c r="BF32" s="172">
        <f t="shared" ca="1" si="5"/>
        <v>50</v>
      </c>
      <c r="BG32" s="172">
        <f t="shared" ca="1" si="5"/>
        <v>51</v>
      </c>
      <c r="BH32" s="172">
        <f t="shared" ca="1" si="5"/>
        <v>52</v>
      </c>
      <c r="BI32" s="172">
        <f t="shared" ca="1" si="5"/>
        <v>53</v>
      </c>
      <c r="BJ32" s="172">
        <f t="shared" ca="1" si="5"/>
        <v>54</v>
      </c>
      <c r="BK32" s="172">
        <f t="shared" ca="1" si="5"/>
        <v>55</v>
      </c>
      <c r="BL32" s="172">
        <f t="shared" ca="1" si="5"/>
        <v>56</v>
      </c>
      <c r="BM32" s="172">
        <f t="shared" ca="1" si="5"/>
        <v>57</v>
      </c>
      <c r="BN32" s="172">
        <f t="shared" ca="1" si="5"/>
        <v>58</v>
      </c>
      <c r="BO32" s="172">
        <f t="shared" ca="1" si="5"/>
        <v>59</v>
      </c>
    </row>
    <row r="33" spans="1:67" s="173" customFormat="1" x14ac:dyDescent="0.25">
      <c r="A33" s="187" t="s">
        <v>181</v>
      </c>
      <c r="B33" s="160"/>
      <c r="C33" s="170"/>
      <c r="D33" s="171">
        <f t="shared" ref="D33:AI33" si="6">(D21+D25)-D29</f>
        <v>1919.9999999999998</v>
      </c>
      <c r="E33" s="171">
        <f t="shared" si="6"/>
        <v>1919.9999999999998</v>
      </c>
      <c r="F33" s="171">
        <f t="shared" si="6"/>
        <v>1919.9999999999998</v>
      </c>
      <c r="G33" s="171">
        <f t="shared" si="6"/>
        <v>1919.9999999999998</v>
      </c>
      <c r="H33" s="188">
        <f t="shared" ca="1" si="6"/>
        <v>1919.9999999999995</v>
      </c>
      <c r="I33" s="188">
        <f t="shared" ca="1" si="6"/>
        <v>1919.9999999999995</v>
      </c>
      <c r="J33" s="188">
        <f t="shared" ca="1" si="6"/>
        <v>1919.9999999999995</v>
      </c>
      <c r="K33" s="188">
        <f t="shared" ca="1" si="6"/>
        <v>2879.9999999999991</v>
      </c>
      <c r="L33" s="188">
        <f t="shared" ca="1" si="6"/>
        <v>3839.9999999999995</v>
      </c>
      <c r="M33" s="188">
        <f t="shared" ca="1" si="6"/>
        <v>4799.9999999999982</v>
      </c>
      <c r="N33" s="188">
        <f t="shared" ca="1" si="6"/>
        <v>5759.9999999999991</v>
      </c>
      <c r="O33" s="188">
        <f t="shared" ca="1" si="6"/>
        <v>6719.9999999999991</v>
      </c>
      <c r="P33" s="188">
        <f t="shared" ca="1" si="6"/>
        <v>7679.9999999999991</v>
      </c>
      <c r="Q33" s="188">
        <f t="shared" ca="1" si="6"/>
        <v>8640</v>
      </c>
      <c r="R33" s="188">
        <f t="shared" ca="1" si="6"/>
        <v>9599.9999999999982</v>
      </c>
      <c r="S33" s="188">
        <f t="shared" ca="1" si="6"/>
        <v>10559.999999999998</v>
      </c>
      <c r="T33" s="188">
        <f t="shared" ca="1" si="6"/>
        <v>11519.999999999998</v>
      </c>
      <c r="U33" s="188">
        <f t="shared" ca="1" si="6"/>
        <v>12479.999999999998</v>
      </c>
      <c r="V33" s="188">
        <f t="shared" ca="1" si="6"/>
        <v>13439.999999999998</v>
      </c>
      <c r="W33" s="188">
        <f t="shared" ca="1" si="6"/>
        <v>14399.999999999998</v>
      </c>
      <c r="X33" s="188">
        <f t="shared" ca="1" si="6"/>
        <v>15359.999999999998</v>
      </c>
      <c r="Y33" s="188">
        <f t="shared" ca="1" si="6"/>
        <v>16319.999999999998</v>
      </c>
      <c r="Z33" s="188">
        <f t="shared" ca="1" si="6"/>
        <v>17279.999999999993</v>
      </c>
      <c r="AA33" s="188">
        <f t="shared" ca="1" si="6"/>
        <v>18239.999999999996</v>
      </c>
      <c r="AB33" s="188">
        <f t="shared" ca="1" si="6"/>
        <v>19199.999999999996</v>
      </c>
      <c r="AC33" s="188">
        <f t="shared" ca="1" si="6"/>
        <v>20159.999999999996</v>
      </c>
      <c r="AD33" s="188">
        <f t="shared" ca="1" si="6"/>
        <v>21119.999999999996</v>
      </c>
      <c r="AE33" s="188">
        <f t="shared" ca="1" si="6"/>
        <v>22079.999999999996</v>
      </c>
      <c r="AF33" s="188">
        <f t="shared" ca="1" si="6"/>
        <v>23039.999999999996</v>
      </c>
      <c r="AG33" s="188">
        <f t="shared" ca="1" si="6"/>
        <v>23999.999999999996</v>
      </c>
      <c r="AH33" s="188">
        <f t="shared" ca="1" si="6"/>
        <v>24959.999999999996</v>
      </c>
      <c r="AI33" s="188">
        <f t="shared" ca="1" si="6"/>
        <v>25919.999999999996</v>
      </c>
      <c r="AJ33" s="188">
        <f t="shared" ref="AJ33:BO33" ca="1" si="7">(AJ21+AJ25)-AJ29</f>
        <v>26879.999999999996</v>
      </c>
      <c r="AK33" s="188">
        <f t="shared" ca="1" si="7"/>
        <v>27839.999999999996</v>
      </c>
      <c r="AL33" s="188">
        <f t="shared" ca="1" si="7"/>
        <v>28799.999999999996</v>
      </c>
      <c r="AM33" s="188">
        <f t="shared" ca="1" si="7"/>
        <v>29759.999999999996</v>
      </c>
      <c r="AN33" s="188">
        <f t="shared" ca="1" si="7"/>
        <v>30719.999999999996</v>
      </c>
      <c r="AO33" s="188">
        <f t="shared" ca="1" si="7"/>
        <v>31679.999999999996</v>
      </c>
      <c r="AP33" s="188">
        <f t="shared" ca="1" si="7"/>
        <v>32639.999999999996</v>
      </c>
      <c r="AQ33" s="188">
        <f t="shared" ca="1" si="7"/>
        <v>33599.999999999985</v>
      </c>
      <c r="AR33" s="188">
        <f t="shared" ca="1" si="7"/>
        <v>34559.999999999993</v>
      </c>
      <c r="AS33" s="188">
        <f t="shared" ca="1" si="7"/>
        <v>35519.999999999993</v>
      </c>
      <c r="AT33" s="188">
        <f t="shared" ca="1" si="7"/>
        <v>36479.999999999993</v>
      </c>
      <c r="AU33" s="188">
        <f t="shared" ca="1" si="7"/>
        <v>37439.999999999993</v>
      </c>
      <c r="AV33" s="188">
        <f t="shared" ca="1" si="7"/>
        <v>38399.999999999993</v>
      </c>
      <c r="AW33" s="188">
        <f t="shared" ca="1" si="7"/>
        <v>39359.999999999993</v>
      </c>
      <c r="AX33" s="188">
        <f t="shared" ca="1" si="7"/>
        <v>40319.999999999993</v>
      </c>
      <c r="AY33" s="188">
        <f t="shared" ca="1" si="7"/>
        <v>41279.999999999993</v>
      </c>
      <c r="AZ33" s="188">
        <f t="shared" ca="1" si="7"/>
        <v>42239.999999999993</v>
      </c>
      <c r="BA33" s="188">
        <f t="shared" ca="1" si="7"/>
        <v>43199.999999999993</v>
      </c>
      <c r="BB33" s="188">
        <f t="shared" ca="1" si="7"/>
        <v>44159.999999999993</v>
      </c>
      <c r="BC33" s="188">
        <f t="shared" ca="1" si="7"/>
        <v>45119.999999999993</v>
      </c>
      <c r="BD33" s="188">
        <f t="shared" ca="1" si="7"/>
        <v>46079.999999999993</v>
      </c>
      <c r="BE33" s="188">
        <f t="shared" ca="1" si="7"/>
        <v>47039.999999999993</v>
      </c>
      <c r="BF33" s="188">
        <f t="shared" ca="1" si="7"/>
        <v>47999.999999999993</v>
      </c>
      <c r="BG33" s="188">
        <f t="shared" ca="1" si="7"/>
        <v>48959.999999999993</v>
      </c>
      <c r="BH33" s="188">
        <f t="shared" ca="1" si="7"/>
        <v>49919.999999999993</v>
      </c>
      <c r="BI33" s="188">
        <f t="shared" ca="1" si="7"/>
        <v>50879.999999999993</v>
      </c>
      <c r="BJ33" s="188">
        <f t="shared" ca="1" si="7"/>
        <v>51839.999999999993</v>
      </c>
      <c r="BK33" s="188">
        <f t="shared" ca="1" si="7"/>
        <v>52799.999999999993</v>
      </c>
      <c r="BL33" s="188">
        <f t="shared" ca="1" si="7"/>
        <v>53759.999999999993</v>
      </c>
      <c r="BM33" s="188">
        <f t="shared" ca="1" si="7"/>
        <v>54719.999999999993</v>
      </c>
      <c r="BN33" s="188">
        <f t="shared" ca="1" si="7"/>
        <v>55679.999999999993</v>
      </c>
      <c r="BO33" s="188">
        <f t="shared" ca="1" si="7"/>
        <v>56639.999999999993</v>
      </c>
    </row>
    <row r="34" spans="1:67" x14ac:dyDescent="0.25">
      <c r="A34" s="179"/>
      <c r="D34" s="165"/>
      <c r="E34" s="165"/>
      <c r="F34" s="165"/>
      <c r="G34" s="165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</row>
    <row r="35" spans="1:67" s="193" customFormat="1" x14ac:dyDescent="0.25">
      <c r="A35" s="189" t="s">
        <v>237</v>
      </c>
      <c r="B35" s="160"/>
      <c r="C35" s="190"/>
      <c r="D35" s="191"/>
      <c r="E35" s="191"/>
      <c r="F35" s="191"/>
      <c r="G35" s="191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</row>
    <row r="36" spans="1:67" s="193" customFormat="1" x14ac:dyDescent="0.25">
      <c r="A36" s="194" t="s">
        <v>178</v>
      </c>
      <c r="B36" s="182"/>
      <c r="C36" s="190"/>
      <c r="D36" s="191">
        <f>D32</f>
        <v>2</v>
      </c>
      <c r="E36" s="191">
        <f t="shared" ref="E36:AJ36" si="8">E32+D36</f>
        <v>4</v>
      </c>
      <c r="F36" s="191">
        <f t="shared" si="8"/>
        <v>6</v>
      </c>
      <c r="G36" s="191">
        <f t="shared" si="8"/>
        <v>8</v>
      </c>
      <c r="H36" s="192">
        <f t="shared" ca="1" si="8"/>
        <v>10</v>
      </c>
      <c r="I36" s="192">
        <f t="shared" ca="1" si="8"/>
        <v>12</v>
      </c>
      <c r="J36" s="192">
        <f t="shared" ca="1" si="8"/>
        <v>14</v>
      </c>
      <c r="K36" s="192">
        <f t="shared" ca="1" si="8"/>
        <v>17</v>
      </c>
      <c r="L36" s="192">
        <f t="shared" ca="1" si="8"/>
        <v>21</v>
      </c>
      <c r="M36" s="192">
        <f t="shared" ca="1" si="8"/>
        <v>26</v>
      </c>
      <c r="N36" s="192">
        <f t="shared" ca="1" si="8"/>
        <v>32</v>
      </c>
      <c r="O36" s="192">
        <f t="shared" ca="1" si="8"/>
        <v>39</v>
      </c>
      <c r="P36" s="192">
        <f t="shared" ca="1" si="8"/>
        <v>47</v>
      </c>
      <c r="Q36" s="192">
        <f t="shared" ca="1" si="8"/>
        <v>56</v>
      </c>
      <c r="R36" s="192">
        <f t="shared" ca="1" si="8"/>
        <v>66</v>
      </c>
      <c r="S36" s="192">
        <f t="shared" ca="1" si="8"/>
        <v>77</v>
      </c>
      <c r="T36" s="192">
        <f t="shared" ca="1" si="8"/>
        <v>89</v>
      </c>
      <c r="U36" s="192">
        <f t="shared" ca="1" si="8"/>
        <v>102</v>
      </c>
      <c r="V36" s="192">
        <f t="shared" ca="1" si="8"/>
        <v>116</v>
      </c>
      <c r="W36" s="192">
        <f t="shared" ca="1" si="8"/>
        <v>131</v>
      </c>
      <c r="X36" s="192">
        <f t="shared" ca="1" si="8"/>
        <v>147</v>
      </c>
      <c r="Y36" s="192">
        <f t="shared" ca="1" si="8"/>
        <v>164</v>
      </c>
      <c r="Z36" s="192">
        <f t="shared" ca="1" si="8"/>
        <v>182</v>
      </c>
      <c r="AA36" s="192">
        <f t="shared" ca="1" si="8"/>
        <v>201</v>
      </c>
      <c r="AB36" s="192">
        <f t="shared" ca="1" si="8"/>
        <v>221</v>
      </c>
      <c r="AC36" s="192">
        <f t="shared" ca="1" si="8"/>
        <v>242</v>
      </c>
      <c r="AD36" s="192">
        <f t="shared" ca="1" si="8"/>
        <v>264</v>
      </c>
      <c r="AE36" s="192">
        <f t="shared" ca="1" si="8"/>
        <v>287</v>
      </c>
      <c r="AF36" s="192">
        <f t="shared" ca="1" si="8"/>
        <v>311</v>
      </c>
      <c r="AG36" s="192">
        <f t="shared" ca="1" si="8"/>
        <v>336</v>
      </c>
      <c r="AH36" s="192">
        <f t="shared" ca="1" si="8"/>
        <v>362</v>
      </c>
      <c r="AI36" s="192">
        <f t="shared" ca="1" si="8"/>
        <v>389</v>
      </c>
      <c r="AJ36" s="192">
        <f t="shared" ca="1" si="8"/>
        <v>417</v>
      </c>
      <c r="AK36" s="192">
        <f t="shared" ref="AK36:BO36" ca="1" si="9">AK32+AJ36</f>
        <v>446</v>
      </c>
      <c r="AL36" s="192">
        <f t="shared" ca="1" si="9"/>
        <v>476</v>
      </c>
      <c r="AM36" s="192">
        <f t="shared" ca="1" si="9"/>
        <v>507</v>
      </c>
      <c r="AN36" s="192">
        <f t="shared" ca="1" si="9"/>
        <v>539</v>
      </c>
      <c r="AO36" s="192">
        <f t="shared" ca="1" si="9"/>
        <v>572</v>
      </c>
      <c r="AP36" s="192">
        <f t="shared" ca="1" si="9"/>
        <v>606</v>
      </c>
      <c r="AQ36" s="192">
        <f t="shared" ca="1" si="9"/>
        <v>641</v>
      </c>
      <c r="AR36" s="192">
        <f t="shared" ca="1" si="9"/>
        <v>677</v>
      </c>
      <c r="AS36" s="192">
        <f t="shared" ca="1" si="9"/>
        <v>714</v>
      </c>
      <c r="AT36" s="192">
        <f t="shared" ca="1" si="9"/>
        <v>752</v>
      </c>
      <c r="AU36" s="192">
        <f t="shared" ca="1" si="9"/>
        <v>791</v>
      </c>
      <c r="AV36" s="192">
        <f t="shared" ca="1" si="9"/>
        <v>831</v>
      </c>
      <c r="AW36" s="192">
        <f t="shared" ca="1" si="9"/>
        <v>872</v>
      </c>
      <c r="AX36" s="192">
        <f t="shared" ca="1" si="9"/>
        <v>914</v>
      </c>
      <c r="AY36" s="192">
        <f t="shared" ca="1" si="9"/>
        <v>957</v>
      </c>
      <c r="AZ36" s="192">
        <f t="shared" ca="1" si="9"/>
        <v>1001</v>
      </c>
      <c r="BA36" s="192">
        <f t="shared" ca="1" si="9"/>
        <v>1046</v>
      </c>
      <c r="BB36" s="192">
        <f t="shared" ca="1" si="9"/>
        <v>1092</v>
      </c>
      <c r="BC36" s="192">
        <f t="shared" ca="1" si="9"/>
        <v>1139</v>
      </c>
      <c r="BD36" s="192">
        <f t="shared" ca="1" si="9"/>
        <v>1187</v>
      </c>
      <c r="BE36" s="192">
        <f t="shared" ca="1" si="9"/>
        <v>1236</v>
      </c>
      <c r="BF36" s="192">
        <f t="shared" ca="1" si="9"/>
        <v>1286</v>
      </c>
      <c r="BG36" s="192">
        <f t="shared" ca="1" si="9"/>
        <v>1337</v>
      </c>
      <c r="BH36" s="192">
        <f t="shared" ca="1" si="9"/>
        <v>1389</v>
      </c>
      <c r="BI36" s="192">
        <f t="shared" ca="1" si="9"/>
        <v>1442</v>
      </c>
      <c r="BJ36" s="192">
        <f t="shared" ca="1" si="9"/>
        <v>1496</v>
      </c>
      <c r="BK36" s="192">
        <f t="shared" ca="1" si="9"/>
        <v>1551</v>
      </c>
      <c r="BL36" s="192">
        <f t="shared" ca="1" si="9"/>
        <v>1607</v>
      </c>
      <c r="BM36" s="192">
        <f t="shared" ca="1" si="9"/>
        <v>1664</v>
      </c>
      <c r="BN36" s="192">
        <f t="shared" ca="1" si="9"/>
        <v>1722</v>
      </c>
      <c r="BO36" s="192">
        <f t="shared" ca="1" si="9"/>
        <v>1781</v>
      </c>
    </row>
    <row r="37" spans="1:67" s="193" customFormat="1" x14ac:dyDescent="0.25">
      <c r="A37" s="195" t="s">
        <v>181</v>
      </c>
      <c r="B37" s="182"/>
      <c r="C37" s="190"/>
      <c r="D37" s="191">
        <f>D33</f>
        <v>1919.9999999999998</v>
      </c>
      <c r="E37" s="191">
        <f t="shared" ref="E37:AJ37" si="10">E33+D37</f>
        <v>3839.9999999999995</v>
      </c>
      <c r="F37" s="191">
        <f t="shared" si="10"/>
        <v>5759.9999999999991</v>
      </c>
      <c r="G37" s="191">
        <f t="shared" si="10"/>
        <v>7679.9999999999991</v>
      </c>
      <c r="H37" s="196">
        <f t="shared" ca="1" si="10"/>
        <v>9599.9999999999982</v>
      </c>
      <c r="I37" s="196">
        <f t="shared" ca="1" si="10"/>
        <v>11519.999999999998</v>
      </c>
      <c r="J37" s="196">
        <f t="shared" ca="1" si="10"/>
        <v>13439.999999999998</v>
      </c>
      <c r="K37" s="196">
        <f t="shared" ca="1" si="10"/>
        <v>16319.999999999996</v>
      </c>
      <c r="L37" s="196">
        <f t="shared" ca="1" si="10"/>
        <v>20159.999999999996</v>
      </c>
      <c r="M37" s="196">
        <f t="shared" ca="1" si="10"/>
        <v>24959.999999999993</v>
      </c>
      <c r="N37" s="196">
        <f t="shared" ca="1" si="10"/>
        <v>30719.999999999993</v>
      </c>
      <c r="O37" s="196">
        <f t="shared" ca="1" si="10"/>
        <v>37439.999999999993</v>
      </c>
      <c r="P37" s="196">
        <f t="shared" ca="1" si="10"/>
        <v>45119.999999999993</v>
      </c>
      <c r="Q37" s="196">
        <f t="shared" ca="1" si="10"/>
        <v>53759.999999999993</v>
      </c>
      <c r="R37" s="196">
        <f t="shared" ca="1" si="10"/>
        <v>63359.999999999993</v>
      </c>
      <c r="S37" s="196">
        <f t="shared" ca="1" si="10"/>
        <v>73919.999999999985</v>
      </c>
      <c r="T37" s="196">
        <f t="shared" ca="1" si="10"/>
        <v>85439.999999999985</v>
      </c>
      <c r="U37" s="196">
        <f t="shared" ca="1" si="10"/>
        <v>97919.999999999985</v>
      </c>
      <c r="V37" s="196">
        <f t="shared" ca="1" si="10"/>
        <v>111359.99999999999</v>
      </c>
      <c r="W37" s="196">
        <f t="shared" ca="1" si="10"/>
        <v>125759.99999999999</v>
      </c>
      <c r="X37" s="196">
        <f t="shared" ca="1" si="10"/>
        <v>141119.99999999997</v>
      </c>
      <c r="Y37" s="196">
        <f t="shared" ca="1" si="10"/>
        <v>157439.99999999997</v>
      </c>
      <c r="Z37" s="196">
        <f t="shared" ca="1" si="10"/>
        <v>174719.99999999997</v>
      </c>
      <c r="AA37" s="196">
        <f t="shared" ca="1" si="10"/>
        <v>192959.99999999997</v>
      </c>
      <c r="AB37" s="196">
        <f t="shared" ca="1" si="10"/>
        <v>212159.99999999997</v>
      </c>
      <c r="AC37" s="196">
        <f t="shared" ca="1" si="10"/>
        <v>232319.99999999997</v>
      </c>
      <c r="AD37" s="196">
        <f t="shared" ca="1" si="10"/>
        <v>253439.99999999997</v>
      </c>
      <c r="AE37" s="196">
        <f t="shared" ca="1" si="10"/>
        <v>275519.99999999994</v>
      </c>
      <c r="AF37" s="196">
        <f t="shared" ca="1" si="10"/>
        <v>298559.99999999994</v>
      </c>
      <c r="AG37" s="196">
        <f t="shared" ca="1" si="10"/>
        <v>322559.99999999994</v>
      </c>
      <c r="AH37" s="196">
        <f t="shared" ca="1" si="10"/>
        <v>347519.99999999994</v>
      </c>
      <c r="AI37" s="196">
        <f t="shared" ca="1" si="10"/>
        <v>373439.99999999994</v>
      </c>
      <c r="AJ37" s="196">
        <f t="shared" ca="1" si="10"/>
        <v>400319.99999999994</v>
      </c>
      <c r="AK37" s="196">
        <f t="shared" ref="AK37:BO37" ca="1" si="11">AK33+AJ37</f>
        <v>428159.99999999994</v>
      </c>
      <c r="AL37" s="196">
        <f t="shared" ca="1" si="11"/>
        <v>456959.99999999994</v>
      </c>
      <c r="AM37" s="196">
        <f t="shared" ca="1" si="11"/>
        <v>486719.99999999994</v>
      </c>
      <c r="AN37" s="196">
        <f t="shared" ca="1" si="11"/>
        <v>517439.99999999994</v>
      </c>
      <c r="AO37" s="196">
        <f t="shared" ca="1" si="11"/>
        <v>549119.99999999988</v>
      </c>
      <c r="AP37" s="196">
        <f t="shared" ca="1" si="11"/>
        <v>581759.99999999988</v>
      </c>
      <c r="AQ37" s="196">
        <f t="shared" ca="1" si="11"/>
        <v>615359.99999999988</v>
      </c>
      <c r="AR37" s="196">
        <f t="shared" ca="1" si="11"/>
        <v>649919.99999999988</v>
      </c>
      <c r="AS37" s="196">
        <f t="shared" ca="1" si="11"/>
        <v>685439.99999999988</v>
      </c>
      <c r="AT37" s="196">
        <f t="shared" ca="1" si="11"/>
        <v>721919.99999999988</v>
      </c>
      <c r="AU37" s="196">
        <f t="shared" ca="1" si="11"/>
        <v>759359.99999999988</v>
      </c>
      <c r="AV37" s="196">
        <f t="shared" ca="1" si="11"/>
        <v>797759.99999999988</v>
      </c>
      <c r="AW37" s="196">
        <f t="shared" ca="1" si="11"/>
        <v>837119.99999999988</v>
      </c>
      <c r="AX37" s="196">
        <f t="shared" ca="1" si="11"/>
        <v>877439.99999999988</v>
      </c>
      <c r="AY37" s="196">
        <f t="shared" ca="1" si="11"/>
        <v>918719.99999999988</v>
      </c>
      <c r="AZ37" s="196">
        <f t="shared" ca="1" si="11"/>
        <v>960959.99999999988</v>
      </c>
      <c r="BA37" s="196">
        <f t="shared" ca="1" si="11"/>
        <v>1004159.9999999999</v>
      </c>
      <c r="BB37" s="196">
        <f t="shared" ca="1" si="11"/>
        <v>1048319.9999999999</v>
      </c>
      <c r="BC37" s="196">
        <f t="shared" ca="1" si="11"/>
        <v>1093439.9999999998</v>
      </c>
      <c r="BD37" s="196">
        <f t="shared" ca="1" si="11"/>
        <v>1139519.9999999998</v>
      </c>
      <c r="BE37" s="196">
        <f t="shared" ca="1" si="11"/>
        <v>1186559.9999999998</v>
      </c>
      <c r="BF37" s="196">
        <f t="shared" ca="1" si="11"/>
        <v>1234559.9999999998</v>
      </c>
      <c r="BG37" s="196">
        <f t="shared" ca="1" si="11"/>
        <v>1283519.9999999998</v>
      </c>
      <c r="BH37" s="196">
        <f t="shared" ca="1" si="11"/>
        <v>1333439.9999999998</v>
      </c>
      <c r="BI37" s="196">
        <f t="shared" ca="1" si="11"/>
        <v>1384319.9999999998</v>
      </c>
      <c r="BJ37" s="196">
        <f t="shared" ca="1" si="11"/>
        <v>1436159.9999999998</v>
      </c>
      <c r="BK37" s="196">
        <f t="shared" ca="1" si="11"/>
        <v>1488959.9999999998</v>
      </c>
      <c r="BL37" s="196">
        <f t="shared" ca="1" si="11"/>
        <v>1542719.9999999998</v>
      </c>
      <c r="BM37" s="196">
        <f t="shared" ca="1" si="11"/>
        <v>1597439.9999999998</v>
      </c>
      <c r="BN37" s="196">
        <f t="shared" ca="1" si="11"/>
        <v>1653119.9999999998</v>
      </c>
      <c r="BO37" s="196">
        <f t="shared" ca="1" si="11"/>
        <v>1709759.9999999998</v>
      </c>
    </row>
    <row r="39" spans="1:67" s="153" customFormat="1" ht="15.75" thickBot="1" x14ac:dyDescent="0.3">
      <c r="A39" s="151"/>
      <c r="B39" s="152"/>
    </row>
    <row r="40" spans="1:67" s="157" customFormat="1" ht="25.5" customHeight="1" thickBot="1" x14ac:dyDescent="0.35">
      <c r="A40" s="155" t="s">
        <v>132</v>
      </c>
      <c r="B40" s="156"/>
    </row>
    <row r="42" spans="1:67" x14ac:dyDescent="0.25">
      <c r="A42" s="197" t="s">
        <v>238</v>
      </c>
    </row>
    <row r="43" spans="1:67" x14ac:dyDescent="0.25">
      <c r="A43" s="179" t="s">
        <v>178</v>
      </c>
      <c r="D43" s="198">
        <f>D36</f>
        <v>2</v>
      </c>
      <c r="E43" s="198">
        <f>E36</f>
        <v>4</v>
      </c>
      <c r="F43" s="198">
        <f t="shared" ref="F43:BO44" si="12">F36</f>
        <v>6</v>
      </c>
      <c r="G43" s="198">
        <f t="shared" si="12"/>
        <v>8</v>
      </c>
      <c r="H43" s="199">
        <f t="shared" ca="1" si="12"/>
        <v>10</v>
      </c>
      <c r="I43" s="199">
        <f t="shared" ca="1" si="12"/>
        <v>12</v>
      </c>
      <c r="J43" s="199">
        <f t="shared" ca="1" si="12"/>
        <v>14</v>
      </c>
      <c r="K43" s="199">
        <f t="shared" ca="1" si="12"/>
        <v>17</v>
      </c>
      <c r="L43" s="199">
        <f t="shared" ca="1" si="12"/>
        <v>21</v>
      </c>
      <c r="M43" s="199">
        <f t="shared" ca="1" si="12"/>
        <v>26</v>
      </c>
      <c r="N43" s="199">
        <f t="shared" ca="1" si="12"/>
        <v>32</v>
      </c>
      <c r="O43" s="199">
        <f t="shared" ca="1" si="12"/>
        <v>39</v>
      </c>
      <c r="P43" s="199">
        <f t="shared" ca="1" si="12"/>
        <v>47</v>
      </c>
      <c r="Q43" s="199">
        <f t="shared" ca="1" si="12"/>
        <v>56</v>
      </c>
      <c r="R43" s="199">
        <f t="shared" ca="1" si="12"/>
        <v>66</v>
      </c>
      <c r="S43" s="199">
        <f t="shared" ca="1" si="12"/>
        <v>77</v>
      </c>
      <c r="T43" s="199">
        <f t="shared" ca="1" si="12"/>
        <v>89</v>
      </c>
      <c r="U43" s="199">
        <f t="shared" ca="1" si="12"/>
        <v>102</v>
      </c>
      <c r="V43" s="199">
        <f t="shared" ca="1" si="12"/>
        <v>116</v>
      </c>
      <c r="W43" s="199">
        <f t="shared" ca="1" si="12"/>
        <v>131</v>
      </c>
      <c r="X43" s="199">
        <f t="shared" ca="1" si="12"/>
        <v>147</v>
      </c>
      <c r="Y43" s="199">
        <f t="shared" ca="1" si="12"/>
        <v>164</v>
      </c>
      <c r="Z43" s="199">
        <f t="shared" ca="1" si="12"/>
        <v>182</v>
      </c>
      <c r="AA43" s="199">
        <f t="shared" ca="1" si="12"/>
        <v>201</v>
      </c>
      <c r="AB43" s="199">
        <f t="shared" ca="1" si="12"/>
        <v>221</v>
      </c>
      <c r="AC43" s="199">
        <f t="shared" ca="1" si="12"/>
        <v>242</v>
      </c>
      <c r="AD43" s="199">
        <f t="shared" ca="1" si="12"/>
        <v>264</v>
      </c>
      <c r="AE43" s="199">
        <f t="shared" ca="1" si="12"/>
        <v>287</v>
      </c>
      <c r="AF43" s="199">
        <f t="shared" ca="1" si="12"/>
        <v>311</v>
      </c>
      <c r="AG43" s="199">
        <f t="shared" ca="1" si="12"/>
        <v>336</v>
      </c>
      <c r="AH43" s="199">
        <f t="shared" ca="1" si="12"/>
        <v>362</v>
      </c>
      <c r="AI43" s="199">
        <f t="shared" ca="1" si="12"/>
        <v>389</v>
      </c>
      <c r="AJ43" s="199">
        <f t="shared" ca="1" si="12"/>
        <v>417</v>
      </c>
      <c r="AK43" s="199">
        <f t="shared" ca="1" si="12"/>
        <v>446</v>
      </c>
      <c r="AL43" s="199">
        <f t="shared" ca="1" si="12"/>
        <v>476</v>
      </c>
      <c r="AM43" s="199">
        <f t="shared" ca="1" si="12"/>
        <v>507</v>
      </c>
      <c r="AN43" s="199">
        <f t="shared" ca="1" si="12"/>
        <v>539</v>
      </c>
      <c r="AO43" s="199">
        <f t="shared" ca="1" si="12"/>
        <v>572</v>
      </c>
      <c r="AP43" s="199">
        <f t="shared" ca="1" si="12"/>
        <v>606</v>
      </c>
      <c r="AQ43" s="199">
        <f t="shared" ca="1" si="12"/>
        <v>641</v>
      </c>
      <c r="AR43" s="199">
        <f t="shared" ca="1" si="12"/>
        <v>677</v>
      </c>
      <c r="AS43" s="199">
        <f t="shared" ca="1" si="12"/>
        <v>714</v>
      </c>
      <c r="AT43" s="199">
        <f t="shared" ca="1" si="12"/>
        <v>752</v>
      </c>
      <c r="AU43" s="199">
        <f t="shared" ca="1" si="12"/>
        <v>791</v>
      </c>
      <c r="AV43" s="199">
        <f t="shared" ca="1" si="12"/>
        <v>831</v>
      </c>
      <c r="AW43" s="199">
        <f t="shared" ca="1" si="12"/>
        <v>872</v>
      </c>
      <c r="AX43" s="199">
        <f t="shared" ca="1" si="12"/>
        <v>914</v>
      </c>
      <c r="AY43" s="199">
        <f t="shared" ca="1" si="12"/>
        <v>957</v>
      </c>
      <c r="AZ43" s="199">
        <f t="shared" ca="1" si="12"/>
        <v>1001</v>
      </c>
      <c r="BA43" s="199">
        <f t="shared" ca="1" si="12"/>
        <v>1046</v>
      </c>
      <c r="BB43" s="199">
        <f t="shared" ca="1" si="12"/>
        <v>1092</v>
      </c>
      <c r="BC43" s="199">
        <f t="shared" ca="1" si="12"/>
        <v>1139</v>
      </c>
      <c r="BD43" s="199">
        <f t="shared" ca="1" si="12"/>
        <v>1187</v>
      </c>
      <c r="BE43" s="199">
        <f t="shared" ca="1" si="12"/>
        <v>1236</v>
      </c>
      <c r="BF43" s="199">
        <f t="shared" ca="1" si="12"/>
        <v>1286</v>
      </c>
      <c r="BG43" s="199">
        <f t="shared" ca="1" si="12"/>
        <v>1337</v>
      </c>
      <c r="BH43" s="199">
        <f t="shared" ca="1" si="12"/>
        <v>1389</v>
      </c>
      <c r="BI43" s="199">
        <f t="shared" ca="1" si="12"/>
        <v>1442</v>
      </c>
      <c r="BJ43" s="199">
        <f t="shared" ca="1" si="12"/>
        <v>1496</v>
      </c>
      <c r="BK43" s="199">
        <f t="shared" ca="1" si="12"/>
        <v>1551</v>
      </c>
      <c r="BL43" s="199">
        <f t="shared" ca="1" si="12"/>
        <v>1607</v>
      </c>
      <c r="BM43" s="199">
        <f t="shared" ca="1" si="12"/>
        <v>1664</v>
      </c>
      <c r="BN43" s="199">
        <f t="shared" ca="1" si="12"/>
        <v>1722</v>
      </c>
      <c r="BO43" s="199">
        <f t="shared" ca="1" si="12"/>
        <v>1781</v>
      </c>
    </row>
    <row r="44" spans="1:67" x14ac:dyDescent="0.25">
      <c r="A44" s="181" t="s">
        <v>181</v>
      </c>
      <c r="D44" s="200">
        <f>D37</f>
        <v>1919.9999999999998</v>
      </c>
      <c r="E44" s="200">
        <f t="shared" ref="E44:H44" si="13">E37</f>
        <v>3839.9999999999995</v>
      </c>
      <c r="F44" s="200">
        <f t="shared" si="13"/>
        <v>5759.9999999999991</v>
      </c>
      <c r="G44" s="200">
        <f t="shared" si="13"/>
        <v>7679.9999999999991</v>
      </c>
      <c r="H44" s="184">
        <f t="shared" ca="1" si="13"/>
        <v>9599.9999999999982</v>
      </c>
      <c r="I44" s="184">
        <f t="shared" ca="1" si="12"/>
        <v>11519.999999999998</v>
      </c>
      <c r="J44" s="184">
        <f t="shared" ca="1" si="12"/>
        <v>13439.999999999998</v>
      </c>
      <c r="K44" s="184">
        <f t="shared" ca="1" si="12"/>
        <v>16319.999999999996</v>
      </c>
      <c r="L44" s="184">
        <f t="shared" ca="1" si="12"/>
        <v>20159.999999999996</v>
      </c>
      <c r="M44" s="184">
        <f t="shared" ca="1" si="12"/>
        <v>24959.999999999993</v>
      </c>
      <c r="N44" s="184">
        <f t="shared" ca="1" si="12"/>
        <v>30719.999999999993</v>
      </c>
      <c r="O44" s="184">
        <f t="shared" ca="1" si="12"/>
        <v>37439.999999999993</v>
      </c>
      <c r="P44" s="184">
        <f t="shared" ca="1" si="12"/>
        <v>45119.999999999993</v>
      </c>
      <c r="Q44" s="184">
        <f t="shared" ca="1" si="12"/>
        <v>53759.999999999993</v>
      </c>
      <c r="R44" s="184">
        <f t="shared" ca="1" si="12"/>
        <v>63359.999999999993</v>
      </c>
      <c r="S44" s="184">
        <f t="shared" ca="1" si="12"/>
        <v>73919.999999999985</v>
      </c>
      <c r="T44" s="184">
        <f t="shared" ca="1" si="12"/>
        <v>85439.999999999985</v>
      </c>
      <c r="U44" s="184">
        <f t="shared" ca="1" si="12"/>
        <v>97919.999999999985</v>
      </c>
      <c r="V44" s="184">
        <f t="shared" ca="1" si="12"/>
        <v>111359.99999999999</v>
      </c>
      <c r="W44" s="184">
        <f t="shared" ca="1" si="12"/>
        <v>125759.99999999999</v>
      </c>
      <c r="X44" s="184">
        <f t="shared" ca="1" si="12"/>
        <v>141119.99999999997</v>
      </c>
      <c r="Y44" s="184">
        <f t="shared" ca="1" si="12"/>
        <v>157439.99999999997</v>
      </c>
      <c r="Z44" s="184">
        <f t="shared" ca="1" si="12"/>
        <v>174719.99999999997</v>
      </c>
      <c r="AA44" s="184">
        <f t="shared" ca="1" si="12"/>
        <v>192959.99999999997</v>
      </c>
      <c r="AB44" s="184">
        <f t="shared" ca="1" si="12"/>
        <v>212159.99999999997</v>
      </c>
      <c r="AC44" s="184">
        <f t="shared" ca="1" si="12"/>
        <v>232319.99999999997</v>
      </c>
      <c r="AD44" s="184">
        <f t="shared" ca="1" si="12"/>
        <v>253439.99999999997</v>
      </c>
      <c r="AE44" s="184">
        <f t="shared" ca="1" si="12"/>
        <v>275519.99999999994</v>
      </c>
      <c r="AF44" s="184">
        <f t="shared" ca="1" si="12"/>
        <v>298559.99999999994</v>
      </c>
      <c r="AG44" s="184">
        <f t="shared" ca="1" si="12"/>
        <v>322559.99999999994</v>
      </c>
      <c r="AH44" s="184">
        <f t="shared" ca="1" si="12"/>
        <v>347519.99999999994</v>
      </c>
      <c r="AI44" s="184">
        <f t="shared" ca="1" si="12"/>
        <v>373439.99999999994</v>
      </c>
      <c r="AJ44" s="184">
        <f t="shared" ca="1" si="12"/>
        <v>400319.99999999994</v>
      </c>
      <c r="AK44" s="184">
        <f t="shared" ca="1" si="12"/>
        <v>428159.99999999994</v>
      </c>
      <c r="AL44" s="184">
        <f t="shared" ca="1" si="12"/>
        <v>456959.99999999994</v>
      </c>
      <c r="AM44" s="184">
        <f t="shared" ca="1" si="12"/>
        <v>486719.99999999994</v>
      </c>
      <c r="AN44" s="184">
        <f t="shared" ca="1" si="12"/>
        <v>517439.99999999994</v>
      </c>
      <c r="AO44" s="184">
        <f t="shared" ca="1" si="12"/>
        <v>549119.99999999988</v>
      </c>
      <c r="AP44" s="184">
        <f t="shared" ca="1" si="12"/>
        <v>581759.99999999988</v>
      </c>
      <c r="AQ44" s="184">
        <f t="shared" ca="1" si="12"/>
        <v>615359.99999999988</v>
      </c>
      <c r="AR44" s="184">
        <f t="shared" ca="1" si="12"/>
        <v>649919.99999999988</v>
      </c>
      <c r="AS44" s="184">
        <f t="shared" ca="1" si="12"/>
        <v>685439.99999999988</v>
      </c>
      <c r="AT44" s="184">
        <f t="shared" ca="1" si="12"/>
        <v>721919.99999999988</v>
      </c>
      <c r="AU44" s="184">
        <f t="shared" ca="1" si="12"/>
        <v>759359.99999999988</v>
      </c>
      <c r="AV44" s="184">
        <f t="shared" ca="1" si="12"/>
        <v>797759.99999999988</v>
      </c>
      <c r="AW44" s="184">
        <f t="shared" ca="1" si="12"/>
        <v>837119.99999999988</v>
      </c>
      <c r="AX44" s="184">
        <f t="shared" ca="1" si="12"/>
        <v>877439.99999999988</v>
      </c>
      <c r="AY44" s="184">
        <f t="shared" ca="1" si="12"/>
        <v>918719.99999999988</v>
      </c>
      <c r="AZ44" s="184">
        <f t="shared" ca="1" si="12"/>
        <v>960959.99999999988</v>
      </c>
      <c r="BA44" s="184">
        <f t="shared" ca="1" si="12"/>
        <v>1004159.9999999999</v>
      </c>
      <c r="BB44" s="184">
        <f t="shared" ca="1" si="12"/>
        <v>1048319.9999999999</v>
      </c>
      <c r="BC44" s="184">
        <f t="shared" ca="1" si="12"/>
        <v>1093439.9999999998</v>
      </c>
      <c r="BD44" s="184">
        <f t="shared" ca="1" si="12"/>
        <v>1139519.9999999998</v>
      </c>
      <c r="BE44" s="184">
        <f t="shared" ca="1" si="12"/>
        <v>1186559.9999999998</v>
      </c>
      <c r="BF44" s="184">
        <f t="shared" ca="1" si="12"/>
        <v>1234559.9999999998</v>
      </c>
      <c r="BG44" s="184">
        <f t="shared" ca="1" si="12"/>
        <v>1283519.9999999998</v>
      </c>
      <c r="BH44" s="184">
        <f t="shared" ca="1" si="12"/>
        <v>1333439.9999999998</v>
      </c>
      <c r="BI44" s="184">
        <f t="shared" ca="1" si="12"/>
        <v>1384319.9999999998</v>
      </c>
      <c r="BJ44" s="184">
        <f t="shared" ca="1" si="12"/>
        <v>1436159.9999999998</v>
      </c>
      <c r="BK44" s="184">
        <f t="shared" ca="1" si="12"/>
        <v>1488959.9999999998</v>
      </c>
      <c r="BL44" s="184">
        <f t="shared" ca="1" si="12"/>
        <v>1542719.9999999998</v>
      </c>
      <c r="BM44" s="184">
        <f t="shared" ca="1" si="12"/>
        <v>1597439.9999999998</v>
      </c>
      <c r="BN44" s="184">
        <f t="shared" ca="1" si="12"/>
        <v>1653119.9999999998</v>
      </c>
      <c r="BO44" s="184">
        <f t="shared" ca="1" si="12"/>
        <v>1709759.9999999998</v>
      </c>
    </row>
    <row r="45" spans="1:67" s="205" customFormat="1" x14ac:dyDescent="0.25">
      <c r="A45" s="201" t="s">
        <v>239</v>
      </c>
      <c r="B45" s="202">
        <f ca="1">SUM(D45:AQ45)</f>
        <v>131778499.99999999</v>
      </c>
      <c r="C45" s="170"/>
      <c r="D45" s="203">
        <f>D44*Assumptions!$F$12</f>
        <v>32199.999999999993</v>
      </c>
      <c r="E45" s="203">
        <f>E44*Assumptions!$F$12</f>
        <v>64399.999999999985</v>
      </c>
      <c r="F45" s="203">
        <f>F44*Assumptions!$F$12</f>
        <v>96599.999999999971</v>
      </c>
      <c r="G45" s="203">
        <f>G44*Assumptions!$F$12</f>
        <v>128799.99999999997</v>
      </c>
      <c r="H45" s="204">
        <f ca="1">H44*Assumptions!$F$12</f>
        <v>160999.99999999997</v>
      </c>
      <c r="I45" s="204">
        <f ca="1">I44*Assumptions!$F$12</f>
        <v>193199.99999999994</v>
      </c>
      <c r="J45" s="204">
        <f ca="1">J44*Assumptions!$F$12</f>
        <v>225399.99999999994</v>
      </c>
      <c r="K45" s="204">
        <f ca="1">K44*Assumptions!$F$12</f>
        <v>273699.99999999994</v>
      </c>
      <c r="L45" s="204">
        <f ca="1">L44*Assumptions!$F$12</f>
        <v>338099.99999999994</v>
      </c>
      <c r="M45" s="204">
        <f ca="1">M44*Assumptions!$F$12</f>
        <v>418599.99999999983</v>
      </c>
      <c r="N45" s="204">
        <f ca="1">N44*Assumptions!$F$12</f>
        <v>515199.99999999983</v>
      </c>
      <c r="O45" s="204">
        <f ca="1">O44*Assumptions!$F$12</f>
        <v>627899.99999999988</v>
      </c>
      <c r="P45" s="204">
        <f ca="1">P44*Assumptions!$F$12</f>
        <v>756699.99999999977</v>
      </c>
      <c r="Q45" s="204">
        <f ca="1">Q44*Assumptions!$F$12</f>
        <v>901599.99999999977</v>
      </c>
      <c r="R45" s="204">
        <f ca="1">R44*Assumptions!$F$12</f>
        <v>1062599.9999999998</v>
      </c>
      <c r="S45" s="204">
        <f ca="1">S44*Assumptions!$F$12</f>
        <v>1239699.9999999998</v>
      </c>
      <c r="T45" s="204">
        <f ca="1">T44*Assumptions!$F$12</f>
        <v>1432899.9999999998</v>
      </c>
      <c r="U45" s="204">
        <f ca="1">U44*Assumptions!$F$12</f>
        <v>1642199.9999999995</v>
      </c>
      <c r="V45" s="204">
        <f ca="1">V44*Assumptions!$F$12</f>
        <v>1867599.9999999995</v>
      </c>
      <c r="W45" s="204">
        <f ca="1">W44*Assumptions!$F$12</f>
        <v>2109099.9999999995</v>
      </c>
      <c r="X45" s="204">
        <f ca="1">X44*Assumptions!$F$12</f>
        <v>2366699.9999999995</v>
      </c>
      <c r="Y45" s="204">
        <f ca="1">Y44*Assumptions!$F$12</f>
        <v>2640399.9999999995</v>
      </c>
      <c r="Z45" s="204">
        <f ca="1">Z44*Assumptions!$F$12</f>
        <v>2930199.9999999995</v>
      </c>
      <c r="AA45" s="204">
        <f ca="1">AA44*Assumptions!$F$12</f>
        <v>3236099.9999999991</v>
      </c>
      <c r="AB45" s="204">
        <f ca="1">AB44*Assumptions!$F$12</f>
        <v>3558099.9999999991</v>
      </c>
      <c r="AC45" s="204">
        <f ca="1">AC44*Assumptions!$F$12</f>
        <v>3896199.9999999991</v>
      </c>
      <c r="AD45" s="204">
        <f ca="1">AD44*Assumptions!$F$12</f>
        <v>4250399.9999999991</v>
      </c>
      <c r="AE45" s="204">
        <f ca="1">AE44*Assumptions!$F$12</f>
        <v>4620699.9999999991</v>
      </c>
      <c r="AF45" s="204">
        <f ca="1">AF44*Assumptions!$F$12</f>
        <v>5007099.9999999991</v>
      </c>
      <c r="AG45" s="204">
        <f ca="1">AG44*Assumptions!$F$12</f>
        <v>5409599.9999999991</v>
      </c>
      <c r="AH45" s="204">
        <f ca="1">AH44*Assumptions!$F$12</f>
        <v>5828199.9999999991</v>
      </c>
      <c r="AI45" s="204">
        <f ca="1">AI44*Assumptions!$F$12</f>
        <v>6262899.9999999981</v>
      </c>
      <c r="AJ45" s="204">
        <f ca="1">AJ44*Assumptions!$F$12</f>
        <v>6713699.9999999981</v>
      </c>
      <c r="AK45" s="204">
        <f ca="1">AK44*Assumptions!$F$12</f>
        <v>7180599.9999999981</v>
      </c>
      <c r="AL45" s="204">
        <f ca="1">AL44*Assumptions!$F$12</f>
        <v>7663599.9999999981</v>
      </c>
      <c r="AM45" s="204">
        <f ca="1">AM44*Assumptions!$F$12</f>
        <v>8162699.9999999981</v>
      </c>
      <c r="AN45" s="204">
        <f ca="1">AN44*Assumptions!$F$12</f>
        <v>8677899.9999999981</v>
      </c>
      <c r="AO45" s="204">
        <f ca="1">AO44*Assumptions!$F$12</f>
        <v>9209199.9999999981</v>
      </c>
      <c r="AP45" s="204">
        <f ca="1">AP44*Assumptions!$F$12</f>
        <v>9756599.9999999981</v>
      </c>
      <c r="AQ45" s="204">
        <f ca="1">AQ44*Assumptions!$F$12</f>
        <v>10320099.999999998</v>
      </c>
      <c r="AR45" s="204">
        <f ca="1">AR44*Assumptions!$F$12</f>
        <v>10899699.999999998</v>
      </c>
      <c r="AS45" s="204">
        <f ca="1">AS44*Assumptions!$F$12</f>
        <v>11495399.999999998</v>
      </c>
      <c r="AT45" s="204">
        <f ca="1">AT44*Assumptions!$F$12</f>
        <v>12107199.999999996</v>
      </c>
      <c r="AU45" s="204">
        <f ca="1">AU44*Assumptions!$F$12</f>
        <v>12735099.999999996</v>
      </c>
      <c r="AV45" s="204">
        <f ca="1">AV44*Assumptions!$F$12</f>
        <v>13379099.999999996</v>
      </c>
      <c r="AW45" s="204">
        <f ca="1">AW44*Assumptions!$F$12</f>
        <v>14039199.999999996</v>
      </c>
      <c r="AX45" s="204">
        <f ca="1">AX44*Assumptions!$F$12</f>
        <v>14715399.999999996</v>
      </c>
      <c r="AY45" s="204">
        <f ca="1">AY44*Assumptions!$F$12</f>
        <v>15407699.999999996</v>
      </c>
      <c r="AZ45" s="204">
        <f ca="1">AZ44*Assumptions!$F$12</f>
        <v>16116099.999999996</v>
      </c>
      <c r="BA45" s="204">
        <f ca="1">BA44*Assumptions!$F$12</f>
        <v>16840599.999999996</v>
      </c>
      <c r="BB45" s="204">
        <f ca="1">BB44*Assumptions!$F$12</f>
        <v>17581199.999999996</v>
      </c>
      <c r="BC45" s="204">
        <f ca="1">BC44*Assumptions!$F$12</f>
        <v>18337899.999999996</v>
      </c>
      <c r="BD45" s="204">
        <f ca="1">BD44*Assumptions!$F$12</f>
        <v>19110699.999999996</v>
      </c>
      <c r="BE45" s="204">
        <f ca="1">BE44*Assumptions!$F$12</f>
        <v>19899599.999999996</v>
      </c>
      <c r="BF45" s="204">
        <f ca="1">BF44*Assumptions!$F$12</f>
        <v>20704599.999999996</v>
      </c>
      <c r="BG45" s="204">
        <f ca="1">BG44*Assumptions!$F$12</f>
        <v>21525699.999999996</v>
      </c>
      <c r="BH45" s="204">
        <f ca="1">BH44*Assumptions!$F$12</f>
        <v>22362899.999999996</v>
      </c>
      <c r="BI45" s="204">
        <f ca="1">BI44*Assumptions!$F$12</f>
        <v>23216199.999999996</v>
      </c>
      <c r="BJ45" s="204">
        <f ca="1">BJ44*Assumptions!$F$12</f>
        <v>24085599.999999993</v>
      </c>
      <c r="BK45" s="204">
        <f ca="1">BK44*Assumptions!$F$12</f>
        <v>24971099.999999993</v>
      </c>
      <c r="BL45" s="204">
        <f ca="1">BL44*Assumptions!$F$12</f>
        <v>25872699.999999993</v>
      </c>
      <c r="BM45" s="204">
        <f ca="1">BM44*Assumptions!$F$12</f>
        <v>26790399.999999993</v>
      </c>
      <c r="BN45" s="204">
        <f ca="1">BN44*Assumptions!$F$12</f>
        <v>27724199.999999993</v>
      </c>
      <c r="BO45" s="204">
        <f ca="1">BO44*Assumptions!$F$12</f>
        <v>28674099.999999993</v>
      </c>
    </row>
    <row r="46" spans="1:67" s="210" customFormat="1" x14ac:dyDescent="0.25">
      <c r="A46" s="206" t="s">
        <v>135</v>
      </c>
      <c r="B46" s="202">
        <f ca="1">MAX(D46:AQ46)</f>
        <v>131778499.99999999</v>
      </c>
      <c r="C46" s="207"/>
      <c r="D46" s="208">
        <f>D45</f>
        <v>32199.999999999993</v>
      </c>
      <c r="E46" s="208">
        <f>E45+D46</f>
        <v>96599.999999999971</v>
      </c>
      <c r="F46" s="208">
        <f>F45+E46</f>
        <v>193199.99999999994</v>
      </c>
      <c r="G46" s="208">
        <f>G45+F46</f>
        <v>321999.99999999988</v>
      </c>
      <c r="H46" s="209">
        <f ca="1">H45+G46</f>
        <v>482999.99999999988</v>
      </c>
      <c r="I46" s="209">
        <f ca="1">I45+H46</f>
        <v>676199.99999999977</v>
      </c>
      <c r="J46" s="209">
        <f t="shared" ref="J46:BO46" ca="1" si="14">J45+I46</f>
        <v>901599.99999999977</v>
      </c>
      <c r="K46" s="209">
        <f t="shared" ca="1" si="14"/>
        <v>1175299.9999999998</v>
      </c>
      <c r="L46" s="209">
        <f t="shared" ca="1" si="14"/>
        <v>1513399.9999999998</v>
      </c>
      <c r="M46" s="209">
        <f t="shared" ca="1" si="14"/>
        <v>1931999.9999999995</v>
      </c>
      <c r="N46" s="209">
        <f t="shared" ca="1" si="14"/>
        <v>2447199.9999999995</v>
      </c>
      <c r="O46" s="209">
        <f t="shared" ca="1" si="14"/>
        <v>3075099.9999999995</v>
      </c>
      <c r="P46" s="209">
        <f t="shared" ca="1" si="14"/>
        <v>3831799.9999999991</v>
      </c>
      <c r="Q46" s="209">
        <f t="shared" ca="1" si="14"/>
        <v>4733399.9999999991</v>
      </c>
      <c r="R46" s="209">
        <f t="shared" ca="1" si="14"/>
        <v>5795999.9999999991</v>
      </c>
      <c r="S46" s="209">
        <f t="shared" ca="1" si="14"/>
        <v>7035699.9999999991</v>
      </c>
      <c r="T46" s="209">
        <f t="shared" ca="1" si="14"/>
        <v>8468599.9999999981</v>
      </c>
      <c r="U46" s="209">
        <f t="shared" ca="1" si="14"/>
        <v>10110799.999999998</v>
      </c>
      <c r="V46" s="209">
        <f t="shared" ca="1" si="14"/>
        <v>11978399.999999998</v>
      </c>
      <c r="W46" s="209">
        <f t="shared" ca="1" si="14"/>
        <v>14087499.999999998</v>
      </c>
      <c r="X46" s="209">
        <f t="shared" ca="1" si="14"/>
        <v>16454199.999999998</v>
      </c>
      <c r="Y46" s="209">
        <f t="shared" ca="1" si="14"/>
        <v>19094599.999999996</v>
      </c>
      <c r="Z46" s="209">
        <f t="shared" ca="1" si="14"/>
        <v>22024799.999999996</v>
      </c>
      <c r="AA46" s="209">
        <f t="shared" ca="1" si="14"/>
        <v>25260899.999999996</v>
      </c>
      <c r="AB46" s="209">
        <f t="shared" ca="1" si="14"/>
        <v>28818999.999999996</v>
      </c>
      <c r="AC46" s="209">
        <f t="shared" ca="1" si="14"/>
        <v>32715199.999999996</v>
      </c>
      <c r="AD46" s="209">
        <f t="shared" ca="1" si="14"/>
        <v>36965599.999999993</v>
      </c>
      <c r="AE46" s="209">
        <f t="shared" ca="1" si="14"/>
        <v>41586299.999999993</v>
      </c>
      <c r="AF46" s="209">
        <f t="shared" ca="1" si="14"/>
        <v>46593399.999999993</v>
      </c>
      <c r="AG46" s="209">
        <f t="shared" ca="1" si="14"/>
        <v>52002999.999999993</v>
      </c>
      <c r="AH46" s="209">
        <f t="shared" ca="1" si="14"/>
        <v>57831199.999999993</v>
      </c>
      <c r="AI46" s="209">
        <f t="shared" ca="1" si="14"/>
        <v>64094099.999999993</v>
      </c>
      <c r="AJ46" s="209">
        <f t="shared" ca="1" si="14"/>
        <v>70807799.999999985</v>
      </c>
      <c r="AK46" s="209">
        <f t="shared" ca="1" si="14"/>
        <v>77988399.999999985</v>
      </c>
      <c r="AL46" s="209">
        <f t="shared" ca="1" si="14"/>
        <v>85651999.999999985</v>
      </c>
      <c r="AM46" s="209">
        <f t="shared" ca="1" si="14"/>
        <v>93814699.999999985</v>
      </c>
      <c r="AN46" s="209">
        <f t="shared" ca="1" si="14"/>
        <v>102492599.99999999</v>
      </c>
      <c r="AO46" s="209">
        <f t="shared" ca="1" si="14"/>
        <v>111701799.99999999</v>
      </c>
      <c r="AP46" s="209">
        <f t="shared" ca="1" si="14"/>
        <v>121458399.99999999</v>
      </c>
      <c r="AQ46" s="209">
        <f t="shared" ca="1" si="14"/>
        <v>131778499.99999999</v>
      </c>
      <c r="AR46" s="209">
        <f t="shared" ca="1" si="14"/>
        <v>142678199.99999997</v>
      </c>
      <c r="AS46" s="209">
        <f t="shared" ca="1" si="14"/>
        <v>154173599.99999997</v>
      </c>
      <c r="AT46" s="209">
        <f t="shared" ca="1" si="14"/>
        <v>166280799.99999997</v>
      </c>
      <c r="AU46" s="209">
        <f t="shared" ca="1" si="14"/>
        <v>179015899.99999997</v>
      </c>
      <c r="AV46" s="209">
        <f t="shared" ca="1" si="14"/>
        <v>192394999.99999997</v>
      </c>
      <c r="AW46" s="209">
        <f t="shared" ca="1" si="14"/>
        <v>206434199.99999997</v>
      </c>
      <c r="AX46" s="209">
        <f t="shared" ca="1" si="14"/>
        <v>221149599.99999997</v>
      </c>
      <c r="AY46" s="209">
        <f t="shared" ca="1" si="14"/>
        <v>236557299.99999997</v>
      </c>
      <c r="AZ46" s="209">
        <f t="shared" ca="1" si="14"/>
        <v>252673399.99999997</v>
      </c>
      <c r="BA46" s="209">
        <f t="shared" ca="1" si="14"/>
        <v>269513999.99999994</v>
      </c>
      <c r="BB46" s="209">
        <f t="shared" ca="1" si="14"/>
        <v>287095199.99999994</v>
      </c>
      <c r="BC46" s="209">
        <f t="shared" ca="1" si="14"/>
        <v>305433099.99999994</v>
      </c>
      <c r="BD46" s="209">
        <f t="shared" ca="1" si="14"/>
        <v>324543799.99999994</v>
      </c>
      <c r="BE46" s="209">
        <f t="shared" ca="1" si="14"/>
        <v>344443399.99999994</v>
      </c>
      <c r="BF46" s="209">
        <f t="shared" ca="1" si="14"/>
        <v>365147999.99999994</v>
      </c>
      <c r="BG46" s="209">
        <f t="shared" ca="1" si="14"/>
        <v>386673699.99999994</v>
      </c>
      <c r="BH46" s="209">
        <f t="shared" ca="1" si="14"/>
        <v>409036599.99999994</v>
      </c>
      <c r="BI46" s="209">
        <f t="shared" ca="1" si="14"/>
        <v>432252799.99999994</v>
      </c>
      <c r="BJ46" s="209">
        <f t="shared" ca="1" si="14"/>
        <v>456338399.99999994</v>
      </c>
      <c r="BK46" s="209">
        <f t="shared" ca="1" si="14"/>
        <v>481309499.99999994</v>
      </c>
      <c r="BL46" s="209">
        <f t="shared" ca="1" si="14"/>
        <v>507182199.99999994</v>
      </c>
      <c r="BM46" s="209">
        <f t="shared" ca="1" si="14"/>
        <v>533972599.99999994</v>
      </c>
      <c r="BN46" s="209">
        <f t="shared" ca="1" si="14"/>
        <v>561696799.99999988</v>
      </c>
      <c r="BO46" s="209">
        <f t="shared" ca="1" si="14"/>
        <v>590370899.99999988</v>
      </c>
    </row>
    <row r="47" spans="1:67" x14ac:dyDescent="0.25"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  <c r="BE47" s="211"/>
      <c r="BF47" s="211"/>
      <c r="BG47" s="211"/>
      <c r="BH47" s="211"/>
      <c r="BI47" s="211"/>
      <c r="BJ47" s="211"/>
      <c r="BK47" s="211"/>
      <c r="BL47" s="211"/>
      <c r="BM47" s="211"/>
      <c r="BN47" s="211"/>
      <c r="BO47" s="211"/>
    </row>
    <row r="48" spans="1:67" x14ac:dyDescent="0.25">
      <c r="A48" s="197" t="s">
        <v>240</v>
      </c>
    </row>
    <row r="49" spans="1:67" x14ac:dyDescent="0.25">
      <c r="A49" s="179" t="s">
        <v>178</v>
      </c>
      <c r="D49" s="198">
        <f>D43</f>
        <v>2</v>
      </c>
      <c r="E49" s="198">
        <f t="shared" ref="E49:AJ49" si="15">E43+D49</f>
        <v>6</v>
      </c>
      <c r="F49" s="198">
        <f t="shared" si="15"/>
        <v>12</v>
      </c>
      <c r="G49" s="198">
        <f t="shared" si="15"/>
        <v>20</v>
      </c>
      <c r="H49" s="199">
        <f t="shared" ca="1" si="15"/>
        <v>30</v>
      </c>
      <c r="I49" s="199">
        <f t="shared" ca="1" si="15"/>
        <v>42</v>
      </c>
      <c r="J49" s="199">
        <f t="shared" ca="1" si="15"/>
        <v>56</v>
      </c>
      <c r="K49" s="199">
        <f t="shared" ca="1" si="15"/>
        <v>73</v>
      </c>
      <c r="L49" s="199">
        <f t="shared" ca="1" si="15"/>
        <v>94</v>
      </c>
      <c r="M49" s="199">
        <f t="shared" ca="1" si="15"/>
        <v>120</v>
      </c>
      <c r="N49" s="199">
        <f t="shared" ca="1" si="15"/>
        <v>152</v>
      </c>
      <c r="O49" s="199">
        <f t="shared" ca="1" si="15"/>
        <v>191</v>
      </c>
      <c r="P49" s="199">
        <f t="shared" ca="1" si="15"/>
        <v>238</v>
      </c>
      <c r="Q49" s="199">
        <f t="shared" ca="1" si="15"/>
        <v>294</v>
      </c>
      <c r="R49" s="199">
        <f t="shared" ca="1" si="15"/>
        <v>360</v>
      </c>
      <c r="S49" s="199">
        <f t="shared" ca="1" si="15"/>
        <v>437</v>
      </c>
      <c r="T49" s="199">
        <f t="shared" ca="1" si="15"/>
        <v>526</v>
      </c>
      <c r="U49" s="199">
        <f t="shared" ca="1" si="15"/>
        <v>628</v>
      </c>
      <c r="V49" s="199">
        <f t="shared" ca="1" si="15"/>
        <v>744</v>
      </c>
      <c r="W49" s="199">
        <f t="shared" ca="1" si="15"/>
        <v>875</v>
      </c>
      <c r="X49" s="199">
        <f t="shared" ca="1" si="15"/>
        <v>1022</v>
      </c>
      <c r="Y49" s="199">
        <f t="shared" ca="1" si="15"/>
        <v>1186</v>
      </c>
      <c r="Z49" s="199">
        <f t="shared" ca="1" si="15"/>
        <v>1368</v>
      </c>
      <c r="AA49" s="199">
        <f t="shared" ca="1" si="15"/>
        <v>1569</v>
      </c>
      <c r="AB49" s="199">
        <f t="shared" ca="1" si="15"/>
        <v>1790</v>
      </c>
      <c r="AC49" s="199">
        <f t="shared" ca="1" si="15"/>
        <v>2032</v>
      </c>
      <c r="AD49" s="199">
        <f t="shared" ca="1" si="15"/>
        <v>2296</v>
      </c>
      <c r="AE49" s="199">
        <f t="shared" ca="1" si="15"/>
        <v>2583</v>
      </c>
      <c r="AF49" s="199">
        <f t="shared" ca="1" si="15"/>
        <v>2894</v>
      </c>
      <c r="AG49" s="199">
        <f t="shared" ca="1" si="15"/>
        <v>3230</v>
      </c>
      <c r="AH49" s="199">
        <f t="shared" ca="1" si="15"/>
        <v>3592</v>
      </c>
      <c r="AI49" s="199">
        <f t="shared" ca="1" si="15"/>
        <v>3981</v>
      </c>
      <c r="AJ49" s="199">
        <f t="shared" ca="1" si="15"/>
        <v>4398</v>
      </c>
      <c r="AK49" s="199">
        <f t="shared" ref="AK49:BO49" ca="1" si="16">AK43+AJ49</f>
        <v>4844</v>
      </c>
      <c r="AL49" s="199">
        <f t="shared" ca="1" si="16"/>
        <v>5320</v>
      </c>
      <c r="AM49" s="199">
        <f t="shared" ca="1" si="16"/>
        <v>5827</v>
      </c>
      <c r="AN49" s="199">
        <f t="shared" ca="1" si="16"/>
        <v>6366</v>
      </c>
      <c r="AO49" s="199">
        <f t="shared" ca="1" si="16"/>
        <v>6938</v>
      </c>
      <c r="AP49" s="199">
        <f t="shared" ca="1" si="16"/>
        <v>7544</v>
      </c>
      <c r="AQ49" s="199">
        <f t="shared" ca="1" si="16"/>
        <v>8185</v>
      </c>
      <c r="AR49" s="199">
        <f t="shared" ca="1" si="16"/>
        <v>8862</v>
      </c>
      <c r="AS49" s="199">
        <f t="shared" ca="1" si="16"/>
        <v>9576</v>
      </c>
      <c r="AT49" s="199">
        <f t="shared" ca="1" si="16"/>
        <v>10328</v>
      </c>
      <c r="AU49" s="199">
        <f t="shared" ca="1" si="16"/>
        <v>11119</v>
      </c>
      <c r="AV49" s="199">
        <f t="shared" ca="1" si="16"/>
        <v>11950</v>
      </c>
      <c r="AW49" s="199">
        <f t="shared" ca="1" si="16"/>
        <v>12822</v>
      </c>
      <c r="AX49" s="199">
        <f t="shared" ca="1" si="16"/>
        <v>13736</v>
      </c>
      <c r="AY49" s="199">
        <f t="shared" ca="1" si="16"/>
        <v>14693</v>
      </c>
      <c r="AZ49" s="199">
        <f t="shared" ca="1" si="16"/>
        <v>15694</v>
      </c>
      <c r="BA49" s="199">
        <f t="shared" ca="1" si="16"/>
        <v>16740</v>
      </c>
      <c r="BB49" s="199">
        <f t="shared" ca="1" si="16"/>
        <v>17832</v>
      </c>
      <c r="BC49" s="199">
        <f t="shared" ca="1" si="16"/>
        <v>18971</v>
      </c>
      <c r="BD49" s="199">
        <f t="shared" ca="1" si="16"/>
        <v>20158</v>
      </c>
      <c r="BE49" s="199">
        <f t="shared" ca="1" si="16"/>
        <v>21394</v>
      </c>
      <c r="BF49" s="199">
        <f t="shared" ca="1" si="16"/>
        <v>22680</v>
      </c>
      <c r="BG49" s="199">
        <f t="shared" ca="1" si="16"/>
        <v>24017</v>
      </c>
      <c r="BH49" s="199">
        <f t="shared" ca="1" si="16"/>
        <v>25406</v>
      </c>
      <c r="BI49" s="199">
        <f t="shared" ca="1" si="16"/>
        <v>26848</v>
      </c>
      <c r="BJ49" s="199">
        <f t="shared" ca="1" si="16"/>
        <v>28344</v>
      </c>
      <c r="BK49" s="199">
        <f t="shared" ca="1" si="16"/>
        <v>29895</v>
      </c>
      <c r="BL49" s="199">
        <f t="shared" ca="1" si="16"/>
        <v>31502</v>
      </c>
      <c r="BM49" s="199">
        <f t="shared" ca="1" si="16"/>
        <v>33166</v>
      </c>
      <c r="BN49" s="199">
        <f t="shared" ca="1" si="16"/>
        <v>34888</v>
      </c>
      <c r="BO49" s="199">
        <f t="shared" ca="1" si="16"/>
        <v>36669</v>
      </c>
    </row>
    <row r="50" spans="1:67" x14ac:dyDescent="0.25">
      <c r="A50" s="181" t="s">
        <v>181</v>
      </c>
      <c r="D50" s="200">
        <f>D44</f>
        <v>1919.9999999999998</v>
      </c>
      <c r="E50" s="200">
        <f t="shared" ref="E50:AJ50" si="17">E44+D50</f>
        <v>5759.9999999999991</v>
      </c>
      <c r="F50" s="200">
        <f t="shared" si="17"/>
        <v>11519.999999999998</v>
      </c>
      <c r="G50" s="200">
        <f t="shared" si="17"/>
        <v>19199.999999999996</v>
      </c>
      <c r="H50" s="184">
        <f t="shared" ca="1" si="17"/>
        <v>28799.999999999993</v>
      </c>
      <c r="I50" s="184">
        <f t="shared" ca="1" si="17"/>
        <v>40319.999999999993</v>
      </c>
      <c r="J50" s="184">
        <f t="shared" ca="1" si="17"/>
        <v>53759.999999999993</v>
      </c>
      <c r="K50" s="184">
        <f t="shared" ca="1" si="17"/>
        <v>70079.999999999985</v>
      </c>
      <c r="L50" s="184">
        <f t="shared" ca="1" si="17"/>
        <v>90239.999999999985</v>
      </c>
      <c r="M50" s="184">
        <f t="shared" ca="1" si="17"/>
        <v>115199.99999999997</v>
      </c>
      <c r="N50" s="184">
        <f t="shared" ca="1" si="17"/>
        <v>145919.99999999997</v>
      </c>
      <c r="O50" s="184">
        <f t="shared" ca="1" si="17"/>
        <v>183359.99999999997</v>
      </c>
      <c r="P50" s="184">
        <f t="shared" ca="1" si="17"/>
        <v>228479.99999999997</v>
      </c>
      <c r="Q50" s="184">
        <f t="shared" ca="1" si="17"/>
        <v>282239.99999999994</v>
      </c>
      <c r="R50" s="184">
        <f t="shared" ca="1" si="17"/>
        <v>345599.99999999994</v>
      </c>
      <c r="S50" s="184">
        <f t="shared" ca="1" si="17"/>
        <v>419519.99999999994</v>
      </c>
      <c r="T50" s="184">
        <f t="shared" ca="1" si="17"/>
        <v>504959.99999999994</v>
      </c>
      <c r="U50" s="184">
        <f t="shared" ca="1" si="17"/>
        <v>602879.99999999988</v>
      </c>
      <c r="V50" s="184">
        <f t="shared" ca="1" si="17"/>
        <v>714239.99999999988</v>
      </c>
      <c r="W50" s="184">
        <f t="shared" ca="1" si="17"/>
        <v>839999.99999999988</v>
      </c>
      <c r="X50" s="184">
        <f t="shared" ca="1" si="17"/>
        <v>981119.99999999988</v>
      </c>
      <c r="Y50" s="184">
        <f t="shared" ca="1" si="17"/>
        <v>1138559.9999999998</v>
      </c>
      <c r="Z50" s="184">
        <f t="shared" ca="1" si="17"/>
        <v>1313279.9999999998</v>
      </c>
      <c r="AA50" s="184">
        <f t="shared" ca="1" si="17"/>
        <v>1506239.9999999998</v>
      </c>
      <c r="AB50" s="184">
        <f t="shared" ca="1" si="17"/>
        <v>1718399.9999999998</v>
      </c>
      <c r="AC50" s="184">
        <f t="shared" ca="1" si="17"/>
        <v>1950719.9999999998</v>
      </c>
      <c r="AD50" s="184">
        <f t="shared" ca="1" si="17"/>
        <v>2204159.9999999995</v>
      </c>
      <c r="AE50" s="184">
        <f t="shared" ca="1" si="17"/>
        <v>2479679.9999999995</v>
      </c>
      <c r="AF50" s="184">
        <f t="shared" ca="1" si="17"/>
        <v>2778239.9999999995</v>
      </c>
      <c r="AG50" s="184">
        <f t="shared" ca="1" si="17"/>
        <v>3100799.9999999995</v>
      </c>
      <c r="AH50" s="184">
        <f t="shared" ca="1" si="17"/>
        <v>3448319.9999999995</v>
      </c>
      <c r="AI50" s="184">
        <f t="shared" ca="1" si="17"/>
        <v>3821759.9999999995</v>
      </c>
      <c r="AJ50" s="184">
        <f t="shared" ca="1" si="17"/>
        <v>4222079.9999999991</v>
      </c>
      <c r="AK50" s="184">
        <f t="shared" ref="AK50:BO50" ca="1" si="18">AK44+AJ50</f>
        <v>4650239.9999999991</v>
      </c>
      <c r="AL50" s="184">
        <f t="shared" ca="1" si="18"/>
        <v>5107199.9999999991</v>
      </c>
      <c r="AM50" s="184">
        <f t="shared" ca="1" si="18"/>
        <v>5593919.9999999991</v>
      </c>
      <c r="AN50" s="184">
        <f t="shared" ca="1" si="18"/>
        <v>6111359.9999999991</v>
      </c>
      <c r="AO50" s="184">
        <f t="shared" ca="1" si="18"/>
        <v>6660479.9999999991</v>
      </c>
      <c r="AP50" s="184">
        <f t="shared" ca="1" si="18"/>
        <v>7242239.9999999991</v>
      </c>
      <c r="AQ50" s="184">
        <f t="shared" ca="1" si="18"/>
        <v>7857599.9999999991</v>
      </c>
      <c r="AR50" s="184">
        <f t="shared" ca="1" si="18"/>
        <v>8507519.9999999981</v>
      </c>
      <c r="AS50" s="184">
        <f t="shared" ca="1" si="18"/>
        <v>9192959.9999999981</v>
      </c>
      <c r="AT50" s="184">
        <f t="shared" ca="1" si="18"/>
        <v>9914879.9999999981</v>
      </c>
      <c r="AU50" s="184">
        <f t="shared" ca="1" si="18"/>
        <v>10674239.999999998</v>
      </c>
      <c r="AV50" s="184">
        <f t="shared" ca="1" si="18"/>
        <v>11471999.999999998</v>
      </c>
      <c r="AW50" s="184">
        <f t="shared" ca="1" si="18"/>
        <v>12309119.999999998</v>
      </c>
      <c r="AX50" s="184">
        <f t="shared" ca="1" si="18"/>
        <v>13186559.999999998</v>
      </c>
      <c r="AY50" s="184">
        <f t="shared" ca="1" si="18"/>
        <v>14105279.999999998</v>
      </c>
      <c r="AZ50" s="184">
        <f t="shared" ca="1" si="18"/>
        <v>15066239.999999998</v>
      </c>
      <c r="BA50" s="184">
        <f t="shared" ca="1" si="18"/>
        <v>16070399.999999998</v>
      </c>
      <c r="BB50" s="184">
        <f t="shared" ca="1" si="18"/>
        <v>17118719.999999996</v>
      </c>
      <c r="BC50" s="184">
        <f t="shared" ca="1" si="18"/>
        <v>18212159.999999996</v>
      </c>
      <c r="BD50" s="184">
        <f t="shared" ca="1" si="18"/>
        <v>19351679.999999996</v>
      </c>
      <c r="BE50" s="184">
        <f t="shared" ca="1" si="18"/>
        <v>20538239.999999996</v>
      </c>
      <c r="BF50" s="184">
        <f t="shared" ca="1" si="18"/>
        <v>21772799.999999996</v>
      </c>
      <c r="BG50" s="184">
        <f t="shared" ca="1" si="18"/>
        <v>23056319.999999996</v>
      </c>
      <c r="BH50" s="184">
        <f t="shared" ca="1" si="18"/>
        <v>24389759.999999996</v>
      </c>
      <c r="BI50" s="184">
        <f t="shared" ca="1" si="18"/>
        <v>25774079.999999996</v>
      </c>
      <c r="BJ50" s="184">
        <f t="shared" ca="1" si="18"/>
        <v>27210239.999999996</v>
      </c>
      <c r="BK50" s="184">
        <f t="shared" ca="1" si="18"/>
        <v>28699199.999999996</v>
      </c>
      <c r="BL50" s="184">
        <f t="shared" ca="1" si="18"/>
        <v>30241919.999999996</v>
      </c>
      <c r="BM50" s="184">
        <f t="shared" ca="1" si="18"/>
        <v>31839359.999999996</v>
      </c>
      <c r="BN50" s="184">
        <f t="shared" ca="1" si="18"/>
        <v>33492479.999999996</v>
      </c>
      <c r="BO50" s="184">
        <f t="shared" ca="1" si="18"/>
        <v>35202239.999999993</v>
      </c>
    </row>
    <row r="51" spans="1:67" s="173" customFormat="1" x14ac:dyDescent="0.25">
      <c r="A51" s="169" t="s">
        <v>239</v>
      </c>
      <c r="B51" s="160"/>
      <c r="C51" s="170"/>
      <c r="D51" s="212">
        <f>D50*Assumptions!$F$12</f>
        <v>32199.999999999993</v>
      </c>
      <c r="E51" s="212">
        <f>E50*Assumptions!$F$12</f>
        <v>96599.999999999971</v>
      </c>
      <c r="F51" s="212">
        <f>F50*Assumptions!$F$12</f>
        <v>193199.99999999994</v>
      </c>
      <c r="G51" s="212">
        <f>G50*Assumptions!$F$12</f>
        <v>321999.99999999994</v>
      </c>
      <c r="H51" s="25">
        <f ca="1">H50*Assumptions!$F$12</f>
        <v>482999.99999999983</v>
      </c>
      <c r="I51" s="25">
        <f ca="1">I50*Assumptions!$F$12</f>
        <v>676199.99999999988</v>
      </c>
      <c r="J51" s="25">
        <f ca="1">J50*Assumptions!$F$12</f>
        <v>901599.99999999977</v>
      </c>
      <c r="K51" s="25">
        <f ca="1">K50*Assumptions!$F$12</f>
        <v>1175299.9999999998</v>
      </c>
      <c r="L51" s="25">
        <f ca="1">L50*Assumptions!$F$12</f>
        <v>1513399.9999999995</v>
      </c>
      <c r="M51" s="25">
        <f ca="1">M50*Assumptions!$F$12</f>
        <v>1931999.9999999993</v>
      </c>
      <c r="N51" s="25">
        <f ca="1">N50*Assumptions!$F$12</f>
        <v>2447199.9999999995</v>
      </c>
      <c r="O51" s="25">
        <f ca="1">O50*Assumptions!$F$12</f>
        <v>3075099.9999999991</v>
      </c>
      <c r="P51" s="25">
        <f ca="1">P50*Assumptions!$F$12</f>
        <v>3831799.9999999991</v>
      </c>
      <c r="Q51" s="25">
        <f ca="1">Q50*Assumptions!$F$12</f>
        <v>4733399.9999999991</v>
      </c>
      <c r="R51" s="25">
        <f ca="1">R50*Assumptions!$F$12</f>
        <v>5795999.9999999991</v>
      </c>
      <c r="S51" s="25">
        <f ca="1">S50*Assumptions!$F$12</f>
        <v>7035699.9999999981</v>
      </c>
      <c r="T51" s="25">
        <f ca="1">T50*Assumptions!$F$12</f>
        <v>8468599.9999999981</v>
      </c>
      <c r="U51" s="25">
        <f ca="1">U50*Assumptions!$F$12</f>
        <v>10110799.999999998</v>
      </c>
      <c r="V51" s="25">
        <f ca="1">V50*Assumptions!$F$12</f>
        <v>11978399.999999996</v>
      </c>
      <c r="W51" s="25">
        <f ca="1">W50*Assumptions!$F$12</f>
        <v>14087499.999999996</v>
      </c>
      <c r="X51" s="25">
        <f ca="1">X50*Assumptions!$F$12</f>
        <v>16454199.999999996</v>
      </c>
      <c r="Y51" s="25">
        <f ca="1">Y50*Assumptions!$F$12</f>
        <v>19094599.999999996</v>
      </c>
      <c r="Z51" s="25">
        <f ca="1">Z50*Assumptions!$F$12</f>
        <v>22024799.999999996</v>
      </c>
      <c r="AA51" s="25">
        <f ca="1">AA50*Assumptions!$F$12</f>
        <v>25260899.999999993</v>
      </c>
      <c r="AB51" s="25">
        <f ca="1">AB50*Assumptions!$F$12</f>
        <v>28818999.999999993</v>
      </c>
      <c r="AC51" s="25">
        <f ca="1">AC50*Assumptions!$F$12</f>
        <v>32715199.999999993</v>
      </c>
      <c r="AD51" s="25">
        <f ca="1">AD50*Assumptions!$F$12</f>
        <v>36965599.999999993</v>
      </c>
      <c r="AE51" s="25">
        <f ca="1">AE50*Assumptions!$F$12</f>
        <v>41586299.999999993</v>
      </c>
      <c r="AF51" s="25">
        <f ca="1">AF50*Assumptions!$F$12</f>
        <v>46593399.999999993</v>
      </c>
      <c r="AG51" s="25">
        <f ca="1">AG50*Assumptions!$F$12</f>
        <v>52002999.999999985</v>
      </c>
      <c r="AH51" s="25">
        <f ca="1">AH50*Assumptions!$F$12</f>
        <v>57831199.999999985</v>
      </c>
      <c r="AI51" s="25">
        <f ca="1">AI50*Assumptions!$F$12</f>
        <v>64094099.999999985</v>
      </c>
      <c r="AJ51" s="25">
        <f ca="1">AJ50*Assumptions!$F$12</f>
        <v>70807799.999999985</v>
      </c>
      <c r="AK51" s="25">
        <f ca="1">AK50*Assumptions!$F$12</f>
        <v>77988399.999999985</v>
      </c>
      <c r="AL51" s="25">
        <f ca="1">AL50*Assumptions!$F$12</f>
        <v>85651999.999999985</v>
      </c>
      <c r="AM51" s="25">
        <f ca="1">AM50*Assumptions!$F$12</f>
        <v>93814699.999999985</v>
      </c>
      <c r="AN51" s="25">
        <f ca="1">AN50*Assumptions!$F$12</f>
        <v>102492599.99999997</v>
      </c>
      <c r="AO51" s="25">
        <f ca="1">AO50*Assumptions!$F$12</f>
        <v>111701799.99999997</v>
      </c>
      <c r="AP51" s="25">
        <f ca="1">AP50*Assumptions!$F$12</f>
        <v>121458399.99999997</v>
      </c>
      <c r="AQ51" s="25">
        <f ca="1">AQ50*Assumptions!$F$12</f>
        <v>131778499.99999997</v>
      </c>
      <c r="AR51" s="25">
        <f ca="1">AR50*Assumptions!$F$12</f>
        <v>142678199.99999997</v>
      </c>
      <c r="AS51" s="25">
        <f ca="1">AS50*Assumptions!$F$12</f>
        <v>154173599.99999997</v>
      </c>
      <c r="AT51" s="25">
        <f ca="1">AT50*Assumptions!$F$12</f>
        <v>166280799.99999997</v>
      </c>
      <c r="AU51" s="25">
        <f ca="1">AU50*Assumptions!$F$12</f>
        <v>179015899.99999997</v>
      </c>
      <c r="AV51" s="25">
        <f ca="1">AV50*Assumptions!$F$12</f>
        <v>192394999.99999994</v>
      </c>
      <c r="AW51" s="25">
        <f ca="1">AW50*Assumptions!$F$12</f>
        <v>206434199.99999994</v>
      </c>
      <c r="AX51" s="25">
        <f ca="1">AX50*Assumptions!$F$12</f>
        <v>221149599.99999994</v>
      </c>
      <c r="AY51" s="25">
        <f ca="1">AY50*Assumptions!$F$12</f>
        <v>236557299.99999994</v>
      </c>
      <c r="AZ51" s="25">
        <f ca="1">AZ50*Assumptions!$F$12</f>
        <v>252673399.99999994</v>
      </c>
      <c r="BA51" s="25">
        <f ca="1">BA50*Assumptions!$F$12</f>
        <v>269513999.99999994</v>
      </c>
      <c r="BB51" s="25">
        <f ca="1">BB50*Assumptions!$F$12</f>
        <v>287095199.99999994</v>
      </c>
      <c r="BC51" s="25">
        <f ca="1">BC50*Assumptions!$F$12</f>
        <v>305433099.99999994</v>
      </c>
      <c r="BD51" s="25">
        <f ca="1">BD50*Assumptions!$F$12</f>
        <v>324543799.99999994</v>
      </c>
      <c r="BE51" s="25">
        <f ca="1">BE50*Assumptions!$F$12</f>
        <v>344443399.99999994</v>
      </c>
      <c r="BF51" s="25">
        <f ca="1">BF50*Assumptions!$F$12</f>
        <v>365147999.99999994</v>
      </c>
      <c r="BG51" s="25">
        <f ca="1">BG50*Assumptions!$F$12</f>
        <v>386673699.99999988</v>
      </c>
      <c r="BH51" s="25">
        <f ca="1">BH50*Assumptions!$F$12</f>
        <v>409036599.99999988</v>
      </c>
      <c r="BI51" s="25">
        <f ca="1">BI50*Assumptions!$F$12</f>
        <v>432252799.99999988</v>
      </c>
      <c r="BJ51" s="25">
        <f ca="1">BJ50*Assumptions!$F$12</f>
        <v>456338399.99999988</v>
      </c>
      <c r="BK51" s="25">
        <f ca="1">BK50*Assumptions!$F$12</f>
        <v>481309499.99999988</v>
      </c>
      <c r="BL51" s="25">
        <f ca="1">BL50*Assumptions!$F$12</f>
        <v>507182199.99999988</v>
      </c>
      <c r="BM51" s="25">
        <f ca="1">BM50*Assumptions!$F$12</f>
        <v>533972599.99999988</v>
      </c>
      <c r="BN51" s="25">
        <f ca="1">BN50*Assumptions!$F$12</f>
        <v>561696799.99999988</v>
      </c>
      <c r="BO51" s="25">
        <f ca="1">BO50*Assumptions!$F$12</f>
        <v>590370899.99999988</v>
      </c>
    </row>
    <row r="52" spans="1:67" x14ac:dyDescent="0.25">
      <c r="A52" s="563" t="s">
        <v>241</v>
      </c>
      <c r="B52" s="564"/>
      <c r="D52" s="61" t="b">
        <f t="shared" ref="D52:AI52" si="19">D51=D46</f>
        <v>1</v>
      </c>
      <c r="E52" s="61" t="b">
        <f t="shared" si="19"/>
        <v>1</v>
      </c>
      <c r="F52" s="61" t="b">
        <f t="shared" si="19"/>
        <v>1</v>
      </c>
      <c r="G52" s="61" t="b">
        <f t="shared" si="19"/>
        <v>1</v>
      </c>
      <c r="H52" s="61" t="b">
        <f t="shared" ca="1" si="19"/>
        <v>1</v>
      </c>
      <c r="I52" s="61" t="b">
        <f t="shared" ca="1" si="19"/>
        <v>1</v>
      </c>
      <c r="J52" s="61" t="b">
        <f t="shared" ca="1" si="19"/>
        <v>1</v>
      </c>
      <c r="K52" s="61" t="b">
        <f t="shared" ca="1" si="19"/>
        <v>1</v>
      </c>
      <c r="L52" s="61" t="b">
        <f t="shared" ca="1" si="19"/>
        <v>1</v>
      </c>
      <c r="M52" s="61" t="b">
        <f t="shared" ca="1" si="19"/>
        <v>1</v>
      </c>
      <c r="N52" s="61" t="b">
        <f t="shared" ca="1" si="19"/>
        <v>1</v>
      </c>
      <c r="O52" s="61" t="b">
        <f t="shared" ca="1" si="19"/>
        <v>1</v>
      </c>
      <c r="P52" s="61" t="b">
        <f t="shared" ca="1" si="19"/>
        <v>1</v>
      </c>
      <c r="Q52" s="61" t="b">
        <f t="shared" ca="1" si="19"/>
        <v>1</v>
      </c>
      <c r="R52" s="61" t="b">
        <f t="shared" ca="1" si="19"/>
        <v>1</v>
      </c>
      <c r="S52" s="61" t="b">
        <f t="shared" ca="1" si="19"/>
        <v>1</v>
      </c>
      <c r="T52" s="61" t="b">
        <f t="shared" ca="1" si="19"/>
        <v>1</v>
      </c>
      <c r="U52" s="61" t="b">
        <f t="shared" ca="1" si="19"/>
        <v>1</v>
      </c>
      <c r="V52" s="61" t="b">
        <f t="shared" ca="1" si="19"/>
        <v>1</v>
      </c>
      <c r="W52" s="61" t="b">
        <f t="shared" ca="1" si="19"/>
        <v>1</v>
      </c>
      <c r="X52" s="61" t="b">
        <f t="shared" ca="1" si="19"/>
        <v>1</v>
      </c>
      <c r="Y52" s="61" t="b">
        <f t="shared" ca="1" si="19"/>
        <v>1</v>
      </c>
      <c r="Z52" s="61" t="b">
        <f t="shared" ca="1" si="19"/>
        <v>1</v>
      </c>
      <c r="AA52" s="61" t="b">
        <f t="shared" ca="1" si="19"/>
        <v>1</v>
      </c>
      <c r="AB52" s="61" t="b">
        <f t="shared" ca="1" si="19"/>
        <v>1</v>
      </c>
      <c r="AC52" s="61" t="b">
        <f t="shared" ca="1" si="19"/>
        <v>1</v>
      </c>
      <c r="AD52" s="61" t="b">
        <f t="shared" ca="1" si="19"/>
        <v>1</v>
      </c>
      <c r="AE52" s="61" t="b">
        <f t="shared" ca="1" si="19"/>
        <v>1</v>
      </c>
      <c r="AF52" s="61" t="b">
        <f t="shared" ca="1" si="19"/>
        <v>1</v>
      </c>
      <c r="AG52" s="61" t="b">
        <f t="shared" ca="1" si="19"/>
        <v>1</v>
      </c>
      <c r="AH52" s="61" t="b">
        <f t="shared" ca="1" si="19"/>
        <v>1</v>
      </c>
      <c r="AI52" s="61" t="b">
        <f t="shared" ca="1" si="19"/>
        <v>1</v>
      </c>
      <c r="AJ52" s="61" t="b">
        <f t="shared" ref="AJ52:BO52" ca="1" si="20">AJ51=AJ46</f>
        <v>1</v>
      </c>
      <c r="AK52" s="61" t="b">
        <f t="shared" ca="1" si="20"/>
        <v>1</v>
      </c>
      <c r="AL52" s="61" t="b">
        <f t="shared" ca="1" si="20"/>
        <v>1</v>
      </c>
      <c r="AM52" s="61" t="b">
        <f t="shared" ca="1" si="20"/>
        <v>1</v>
      </c>
      <c r="AN52" s="61" t="b">
        <f t="shared" ca="1" si="20"/>
        <v>1</v>
      </c>
      <c r="AO52" s="61" t="b">
        <f t="shared" ca="1" si="20"/>
        <v>1</v>
      </c>
      <c r="AP52" s="61" t="b">
        <f t="shared" ca="1" si="20"/>
        <v>1</v>
      </c>
      <c r="AQ52" s="61" t="b">
        <f t="shared" ca="1" si="20"/>
        <v>1</v>
      </c>
      <c r="AR52" s="61" t="b">
        <f t="shared" ca="1" si="20"/>
        <v>1</v>
      </c>
      <c r="AS52" s="61" t="b">
        <f t="shared" ca="1" si="20"/>
        <v>1</v>
      </c>
      <c r="AT52" s="61" t="b">
        <f t="shared" ca="1" si="20"/>
        <v>1</v>
      </c>
      <c r="AU52" s="61" t="b">
        <f t="shared" ca="1" si="20"/>
        <v>1</v>
      </c>
      <c r="AV52" s="61" t="b">
        <f t="shared" ca="1" si="20"/>
        <v>1</v>
      </c>
      <c r="AW52" s="61" t="b">
        <f t="shared" ca="1" si="20"/>
        <v>1</v>
      </c>
      <c r="AX52" s="61" t="b">
        <f t="shared" ca="1" si="20"/>
        <v>1</v>
      </c>
      <c r="AY52" s="61" t="b">
        <f t="shared" ca="1" si="20"/>
        <v>1</v>
      </c>
      <c r="AZ52" s="61" t="b">
        <f t="shared" ca="1" si="20"/>
        <v>1</v>
      </c>
      <c r="BA52" s="61" t="b">
        <f t="shared" ca="1" si="20"/>
        <v>1</v>
      </c>
      <c r="BB52" s="61" t="b">
        <f t="shared" ca="1" si="20"/>
        <v>1</v>
      </c>
      <c r="BC52" s="61" t="b">
        <f t="shared" ca="1" si="20"/>
        <v>1</v>
      </c>
      <c r="BD52" s="61" t="b">
        <f t="shared" ca="1" si="20"/>
        <v>1</v>
      </c>
      <c r="BE52" s="61" t="b">
        <f t="shared" ca="1" si="20"/>
        <v>1</v>
      </c>
      <c r="BF52" s="61" t="b">
        <f t="shared" ca="1" si="20"/>
        <v>1</v>
      </c>
      <c r="BG52" s="61" t="b">
        <f t="shared" ca="1" si="20"/>
        <v>1</v>
      </c>
      <c r="BH52" s="61" t="b">
        <f t="shared" ca="1" si="20"/>
        <v>1</v>
      </c>
      <c r="BI52" s="61" t="b">
        <f t="shared" ca="1" si="20"/>
        <v>1</v>
      </c>
      <c r="BJ52" s="61" t="b">
        <f t="shared" ca="1" si="20"/>
        <v>1</v>
      </c>
      <c r="BK52" s="61" t="b">
        <f t="shared" ca="1" si="20"/>
        <v>1</v>
      </c>
      <c r="BL52" s="61" t="b">
        <f t="shared" ca="1" si="20"/>
        <v>1</v>
      </c>
      <c r="BM52" s="61" t="b">
        <f t="shared" ca="1" si="20"/>
        <v>1</v>
      </c>
      <c r="BN52" s="61" t="b">
        <f t="shared" ca="1" si="20"/>
        <v>1</v>
      </c>
      <c r="BO52" s="61" t="b">
        <f t="shared" ca="1" si="20"/>
        <v>1</v>
      </c>
    </row>
    <row r="54" spans="1:67" s="153" customFormat="1" ht="15.75" thickBot="1" x14ac:dyDescent="0.3">
      <c r="A54" s="151"/>
      <c r="B54" s="152"/>
    </row>
    <row r="55" spans="1:67" s="157" customFormat="1" ht="25.5" customHeight="1" thickBot="1" x14ac:dyDescent="0.35">
      <c r="A55" s="155" t="s">
        <v>138</v>
      </c>
      <c r="B55" s="156"/>
    </row>
    <row r="57" spans="1:67" s="162" customFormat="1" x14ac:dyDescent="0.25">
      <c r="A57" s="159" t="s">
        <v>242</v>
      </c>
      <c r="B57" s="160"/>
      <c r="C57" s="161"/>
      <c r="D57" s="161"/>
      <c r="E57" s="161"/>
      <c r="F57" s="161"/>
      <c r="G57" s="161"/>
    </row>
    <row r="58" spans="1:67" x14ac:dyDescent="0.25">
      <c r="A58" s="197"/>
    </row>
    <row r="59" spans="1:67" x14ac:dyDescent="0.25">
      <c r="A59" s="197" t="s">
        <v>153</v>
      </c>
    </row>
    <row r="60" spans="1:67" x14ac:dyDescent="0.25">
      <c r="A60" s="213" t="str">
        <f>Assumptions!$J$3</f>
        <v>Head of Sales</v>
      </c>
      <c r="B60" s="202"/>
      <c r="D60" s="214"/>
      <c r="E60" s="214"/>
      <c r="F60" s="214"/>
      <c r="G60" s="214"/>
      <c r="H60" s="51">
        <f>(Assumptions!$K3/12)+(Assumptions!$K3/12)*Assumptions!$K$48</f>
        <v>12500</v>
      </c>
      <c r="I60" s="51">
        <f>(Assumptions!$K3/12)+(Assumptions!$K3/12)*Assumptions!$K$48</f>
        <v>12500</v>
      </c>
      <c r="J60" s="51">
        <f>(Assumptions!$K3/12)+(Assumptions!$K3/12)*Assumptions!$K$48</f>
        <v>12500</v>
      </c>
      <c r="K60" s="51">
        <f>(Assumptions!$K3/12)+(Assumptions!$K3/12)*Assumptions!$K$48</f>
        <v>12500</v>
      </c>
      <c r="L60" s="51">
        <f>(Assumptions!$K3/12)+(Assumptions!$K3/12)*Assumptions!$K$48</f>
        <v>12500</v>
      </c>
      <c r="M60" s="51">
        <f>(Assumptions!$K3/12)+(Assumptions!$K3/12)*Assumptions!$K$48</f>
        <v>12500</v>
      </c>
      <c r="N60" s="51">
        <f>(Assumptions!$K3/12)+(Assumptions!$K3/12)*Assumptions!$K$48</f>
        <v>12500</v>
      </c>
      <c r="O60" s="51">
        <f>(Assumptions!$K3/12)+(Assumptions!$K3/12)*Assumptions!$K$48</f>
        <v>12500</v>
      </c>
      <c r="P60" s="51">
        <f>(Assumptions!$K3/12)+(Assumptions!$K3/12)*Assumptions!$K$48</f>
        <v>12500</v>
      </c>
      <c r="Q60" s="51">
        <f>(Assumptions!$K3/12)+(Assumptions!$K3/12)*Assumptions!$K$48</f>
        <v>12500</v>
      </c>
      <c r="R60" s="51">
        <f>(Assumptions!$K3/12)+(Assumptions!$K3/12)*Assumptions!$K$48</f>
        <v>12500</v>
      </c>
      <c r="S60" s="51">
        <f>(Assumptions!$K3/12)+(Assumptions!$K3/12)*Assumptions!$K$48</f>
        <v>12500</v>
      </c>
      <c r="T60" s="51">
        <f>(Assumptions!$K3/12)+(Assumptions!$K3/12)*Assumptions!$L$48</f>
        <v>15625</v>
      </c>
      <c r="U60" s="51">
        <f>(Assumptions!$K3/12)+(Assumptions!$K3/12)*Assumptions!$L$48</f>
        <v>15625</v>
      </c>
      <c r="V60" s="51">
        <f>(Assumptions!$K3/12)+(Assumptions!$K3/12)*Assumptions!$L$48</f>
        <v>15625</v>
      </c>
      <c r="W60" s="51">
        <f>(Assumptions!$K3/12)+(Assumptions!$K3/12)*Assumptions!$L$48</f>
        <v>15625</v>
      </c>
      <c r="X60" s="51">
        <f>(Assumptions!$K3/12)+(Assumptions!$K3/12)*Assumptions!$L$48</f>
        <v>15625</v>
      </c>
      <c r="Y60" s="51">
        <f>(Assumptions!$K3/12)+(Assumptions!$K3/12)*Assumptions!$L$48</f>
        <v>15625</v>
      </c>
      <c r="Z60" s="51">
        <f>(Assumptions!$K3/12)+(Assumptions!$K3/12)*Assumptions!$L$48</f>
        <v>15625</v>
      </c>
      <c r="AA60" s="51">
        <f>(Assumptions!$K3/12)+(Assumptions!$K3/12)*Assumptions!$L$48</f>
        <v>15625</v>
      </c>
      <c r="AB60" s="51">
        <f>(Assumptions!$K3/12)+(Assumptions!$K3/12)*Assumptions!$L$48</f>
        <v>15625</v>
      </c>
      <c r="AC60" s="51">
        <f>(Assumptions!$K3/12)+(Assumptions!$K3/12)*Assumptions!$L$48</f>
        <v>15625</v>
      </c>
      <c r="AD60" s="51">
        <f>(Assumptions!$K3/12)+(Assumptions!$K3/12)*Assumptions!$L$48</f>
        <v>15625</v>
      </c>
      <c r="AE60" s="51">
        <f>(Assumptions!$K3/12)+(Assumptions!$K3/12)*Assumptions!$L$48</f>
        <v>15625</v>
      </c>
      <c r="AF60" s="51">
        <f>(Assumptions!$K3/12)+(Assumptions!$K3/12)*Assumptions!$M$48</f>
        <v>20000</v>
      </c>
      <c r="AG60" s="51">
        <f>(Assumptions!$K3/12)+(Assumptions!$K3/12)*Assumptions!$M$48</f>
        <v>20000</v>
      </c>
      <c r="AH60" s="51">
        <f>(Assumptions!$K3/12)+(Assumptions!$K3/12)*Assumptions!$M$48</f>
        <v>20000</v>
      </c>
      <c r="AI60" s="51">
        <f>(Assumptions!$K3/12)+(Assumptions!$K3/12)*Assumptions!$M$48</f>
        <v>20000</v>
      </c>
      <c r="AJ60" s="51">
        <f>(Assumptions!$K3/12)+(Assumptions!$K3/12)*Assumptions!$M$48</f>
        <v>20000</v>
      </c>
      <c r="AK60" s="51">
        <f>(Assumptions!$K3/12)+(Assumptions!$K3/12)*Assumptions!$M$48</f>
        <v>20000</v>
      </c>
      <c r="AL60" s="51">
        <f>(Assumptions!$K3/12)+(Assumptions!$K3/12)*Assumptions!$M$48</f>
        <v>20000</v>
      </c>
      <c r="AM60" s="51">
        <f>(Assumptions!$K3/12)+(Assumptions!$K3/12)*Assumptions!$M$48</f>
        <v>20000</v>
      </c>
      <c r="AN60" s="51">
        <f>(Assumptions!$K3/12)+(Assumptions!$K3/12)*Assumptions!$M$48</f>
        <v>20000</v>
      </c>
      <c r="AO60" s="51">
        <f>(Assumptions!$K3/12)+(Assumptions!$K3/12)*Assumptions!$M$48</f>
        <v>20000</v>
      </c>
      <c r="AP60" s="51">
        <f>(Assumptions!$K3/12)+(Assumptions!$K3/12)*Assumptions!$M$48</f>
        <v>20000</v>
      </c>
      <c r="AQ60" s="51">
        <f>(Assumptions!$K3/12)+(Assumptions!$K3/12)*Assumptions!$M$48</f>
        <v>20000</v>
      </c>
      <c r="AR60" s="51">
        <f>(Assumptions!$K3/12)+(Assumptions!$K3/12)*Assumptions!$N$48</f>
        <v>28750</v>
      </c>
      <c r="AS60" s="51">
        <f>(Assumptions!$K3/12)+(Assumptions!$K3/12)*Assumptions!$N$48</f>
        <v>28750</v>
      </c>
      <c r="AT60" s="51">
        <f>(Assumptions!$K3/12)+(Assumptions!$K3/12)*Assumptions!$N$48</f>
        <v>28750</v>
      </c>
      <c r="AU60" s="51">
        <f>(Assumptions!$K3/12)+(Assumptions!$K3/12)*Assumptions!$N$48</f>
        <v>28750</v>
      </c>
      <c r="AV60" s="51">
        <f>(Assumptions!$K3/12)+(Assumptions!$K3/12)*Assumptions!$N$48</f>
        <v>28750</v>
      </c>
      <c r="AW60" s="51">
        <f>(Assumptions!$K3/12)+(Assumptions!$K3/12)*Assumptions!$N$48</f>
        <v>28750</v>
      </c>
      <c r="AX60" s="51">
        <f>(Assumptions!$K3/12)+(Assumptions!$K3/12)*Assumptions!$N$48</f>
        <v>28750</v>
      </c>
      <c r="AY60" s="51">
        <f>(Assumptions!$K3/12)+(Assumptions!$K3/12)*Assumptions!$N$48</f>
        <v>28750</v>
      </c>
      <c r="AZ60" s="51">
        <f>(Assumptions!$K3/12)+(Assumptions!$K3/12)*Assumptions!$N$48</f>
        <v>28750</v>
      </c>
      <c r="BA60" s="51">
        <f>(Assumptions!$K3/12)+(Assumptions!$K3/12)*Assumptions!$N$48</f>
        <v>28750</v>
      </c>
      <c r="BB60" s="51">
        <f>(Assumptions!$K3/12)+(Assumptions!$K3/12)*Assumptions!$N$48</f>
        <v>28750</v>
      </c>
      <c r="BC60" s="51">
        <f>(Assumptions!$K3/12)+(Assumptions!$K3/12)*Assumptions!$N$48</f>
        <v>28750</v>
      </c>
      <c r="BD60" s="51">
        <f>(Assumptions!$K3/12)+(Assumptions!$K3/12)*Assumptions!$O$48</f>
        <v>37500</v>
      </c>
      <c r="BE60" s="51">
        <f>(Assumptions!$K3/12)+(Assumptions!$K3/12)*Assumptions!$O$48</f>
        <v>37500</v>
      </c>
      <c r="BF60" s="51">
        <f>(Assumptions!$K3/12)+(Assumptions!$K3/12)*Assumptions!$O$48</f>
        <v>37500</v>
      </c>
      <c r="BG60" s="51">
        <f>(Assumptions!$K3/12)+(Assumptions!$K3/12)*Assumptions!$O$48</f>
        <v>37500</v>
      </c>
      <c r="BH60" s="51">
        <f>(Assumptions!$K3/12)+(Assumptions!$K3/12)*Assumptions!$O$48</f>
        <v>37500</v>
      </c>
      <c r="BI60" s="51">
        <f>(Assumptions!$K3/12)+(Assumptions!$K3/12)*Assumptions!$O$48</f>
        <v>37500</v>
      </c>
      <c r="BJ60" s="51">
        <f>(Assumptions!$K3/12)+(Assumptions!$K3/12)*Assumptions!$O$48</f>
        <v>37500</v>
      </c>
      <c r="BK60" s="51">
        <f>(Assumptions!$K3/12)+(Assumptions!$K3/12)*Assumptions!$O$48</f>
        <v>37500</v>
      </c>
      <c r="BL60" s="51">
        <f>(Assumptions!$K3/12)+(Assumptions!$K3/12)*Assumptions!$O$48</f>
        <v>37500</v>
      </c>
      <c r="BM60" s="51">
        <f>(Assumptions!$K3/12)+(Assumptions!$K3/12)*Assumptions!$O$48</f>
        <v>37500</v>
      </c>
      <c r="BN60" s="51">
        <f>(Assumptions!$K3/12)+(Assumptions!$K3/12)*Assumptions!$O$48</f>
        <v>37500</v>
      </c>
      <c r="BO60" s="51">
        <f>(Assumptions!$K3/12)+(Assumptions!$K3/12)*Assumptions!$O$48</f>
        <v>37500</v>
      </c>
    </row>
    <row r="61" spans="1:67" s="217" customFormat="1" x14ac:dyDescent="0.25">
      <c r="A61" s="215" t="str">
        <f>Assumptions!$J$4</f>
        <v>Sales Person</v>
      </c>
      <c r="B61" s="216"/>
      <c r="D61" s="218"/>
      <c r="E61" s="218"/>
      <c r="F61" s="218"/>
      <c r="G61" s="218"/>
      <c r="H61" s="219">
        <f>((Assumptions!$K$4/12)*H$10)+((Assumptions!$K$4/12)*H$10)*Assumptions!$K$48</f>
        <v>16666.666666666668</v>
      </c>
      <c r="I61" s="219">
        <f>((Assumptions!$K$4/12)*I$10)+((Assumptions!$K$4/12)*I$10)*Assumptions!$K$48</f>
        <v>25000</v>
      </c>
      <c r="J61" s="219">
        <f>((Assumptions!$K$4/12)*J$10)+((Assumptions!$K$4/12)*J$10)*Assumptions!$K$48</f>
        <v>33333.333333333336</v>
      </c>
      <c r="K61" s="219">
        <f>((Assumptions!$K$4/12)*K$10)+((Assumptions!$K$4/12)*K$10)*Assumptions!$K$48</f>
        <v>41666.666666666672</v>
      </c>
      <c r="L61" s="219">
        <f>((Assumptions!$K$4/12)*L$10)+((Assumptions!$K$4/12)*L$10)*Assumptions!$K$48</f>
        <v>50000</v>
      </c>
      <c r="M61" s="219">
        <f>((Assumptions!$K$4/12)*M$10)+((Assumptions!$K$4/12)*M$10)*Assumptions!$K$48</f>
        <v>58333.333333333336</v>
      </c>
      <c r="N61" s="219">
        <f>((Assumptions!$K$4/12)*N$10)+((Assumptions!$K$4/12)*N$10)*Assumptions!$K$48</f>
        <v>66666.666666666672</v>
      </c>
      <c r="O61" s="219">
        <f>((Assumptions!$K$4/12)*O$10)+((Assumptions!$K$4/12)*O$10)*Assumptions!$K$48</f>
        <v>75000</v>
      </c>
      <c r="P61" s="219">
        <f>((Assumptions!$K$4/12)*P$10)+((Assumptions!$K$4/12)*P$10)*Assumptions!$K$48</f>
        <v>83333.333333333343</v>
      </c>
      <c r="Q61" s="219">
        <f>((Assumptions!$K$4/12)*Q$10)+((Assumptions!$K$4/12)*Q$10)*Assumptions!$K$48</f>
        <v>91666.666666666672</v>
      </c>
      <c r="R61" s="219">
        <f>((Assumptions!$K$4/12)*R$10)+((Assumptions!$K$4/12)*R$10)*Assumptions!$K$48</f>
        <v>100000</v>
      </c>
      <c r="S61" s="219">
        <f>((Assumptions!$K$4/12)*S$10)+((Assumptions!$K$4/12)*S$10)*Assumptions!$K$48</f>
        <v>108333.33333333334</v>
      </c>
      <c r="T61" s="219">
        <f>((Assumptions!$K$4/12)*T$10)+((Assumptions!$K$4/12)*T$10)*Assumptions!$L$48</f>
        <v>145833.33333333334</v>
      </c>
      <c r="U61" s="219">
        <f>((Assumptions!$K$4/12)*U$10)+((Assumptions!$K$4/12)*U$10)*Assumptions!$L$48</f>
        <v>156250.00000000003</v>
      </c>
      <c r="V61" s="219">
        <f>((Assumptions!$K$4/12)*V$10)+((Assumptions!$K$4/12)*V$10)*Assumptions!$L$48</f>
        <v>166666.66666666669</v>
      </c>
      <c r="W61" s="219">
        <f>((Assumptions!$K$4/12)*W$10)+((Assumptions!$K$4/12)*W$10)*Assumptions!$L$48</f>
        <v>177083.33333333337</v>
      </c>
      <c r="X61" s="219">
        <f>((Assumptions!$K$4/12)*X$10)+((Assumptions!$K$4/12)*X$10)*Assumptions!$L$48</f>
        <v>187500</v>
      </c>
      <c r="Y61" s="219">
        <f>((Assumptions!$K$4/12)*Y$10)+((Assumptions!$K$4/12)*Y$10)*Assumptions!$L$48</f>
        <v>197916.66666666669</v>
      </c>
      <c r="Z61" s="219">
        <f>((Assumptions!$K$4/12)*Z$10)+((Assumptions!$K$4/12)*Z$10)*Assumptions!$L$48</f>
        <v>208333.33333333337</v>
      </c>
      <c r="AA61" s="219">
        <f>((Assumptions!$K$4/12)*AA$10)+((Assumptions!$K$4/12)*AA$10)*Assumptions!$L$48</f>
        <v>218750</v>
      </c>
      <c r="AB61" s="219">
        <f>((Assumptions!$K$4/12)*AB$10)+((Assumptions!$K$4/12)*AB$10)*Assumptions!$L$48</f>
        <v>229166.66666666669</v>
      </c>
      <c r="AC61" s="219">
        <f>((Assumptions!$K$4/12)*AC$10)+((Assumptions!$K$4/12)*AC$10)*Assumptions!$L$48</f>
        <v>239583.33333333337</v>
      </c>
      <c r="AD61" s="219">
        <f>((Assumptions!$K$4/12)*AD$10)+((Assumptions!$K$4/12)*AD$10)*Assumptions!$L$48</f>
        <v>250000</v>
      </c>
      <c r="AE61" s="219">
        <f>((Assumptions!$K$4/12)*AE$10)+((Assumptions!$K$4/12)*AE$10)*Assumptions!$L$48</f>
        <v>260416.66666666669</v>
      </c>
      <c r="AF61" s="219">
        <f>((Assumptions!$K$4/12)*AF$10)+((Assumptions!$K$4/12)*AF$10)*Assumptions!$M$48</f>
        <v>346666.66666666669</v>
      </c>
      <c r="AG61" s="219">
        <f>((Assumptions!$K$4/12)*AG$10)+((Assumptions!$K$4/12)*AG$10)*Assumptions!$M$48</f>
        <v>360000</v>
      </c>
      <c r="AH61" s="219">
        <f>((Assumptions!$K$4/12)*AH$10)+((Assumptions!$K$4/12)*AH$10)*Assumptions!$M$48</f>
        <v>373333.33333333337</v>
      </c>
      <c r="AI61" s="219">
        <f>((Assumptions!$K$4/12)*AI$10)+((Assumptions!$K$4/12)*AI$10)*Assumptions!$M$48</f>
        <v>386666.66666666669</v>
      </c>
      <c r="AJ61" s="219">
        <f>((Assumptions!$K$4/12)*AJ$10)+((Assumptions!$K$4/12)*AJ$10)*Assumptions!$M$48</f>
        <v>400000</v>
      </c>
      <c r="AK61" s="219">
        <f>((Assumptions!$K$4/12)*AK$10)+((Assumptions!$K$4/12)*AK$10)*Assumptions!$M$48</f>
        <v>413333.33333333337</v>
      </c>
      <c r="AL61" s="219">
        <f>((Assumptions!$K$4/12)*AL$10)+((Assumptions!$K$4/12)*AL$10)*Assumptions!$M$48</f>
        <v>426666.66666666669</v>
      </c>
      <c r="AM61" s="219">
        <f>((Assumptions!$K$4/12)*AM$10)+((Assumptions!$K$4/12)*AM$10)*Assumptions!$M$48</f>
        <v>440000</v>
      </c>
      <c r="AN61" s="219">
        <f>((Assumptions!$K$4/12)*AN$10)+((Assumptions!$K$4/12)*AN$10)*Assumptions!$M$48</f>
        <v>453333.33333333337</v>
      </c>
      <c r="AO61" s="219">
        <f>((Assumptions!$K$4/12)*AO$10)+((Assumptions!$K$4/12)*AO$10)*Assumptions!$M$48</f>
        <v>466666.66666666669</v>
      </c>
      <c r="AP61" s="219">
        <f>((Assumptions!$K$4/12)*AP$10)+((Assumptions!$K$4/12)*AP$10)*Assumptions!$M$48</f>
        <v>480000</v>
      </c>
      <c r="AQ61" s="219">
        <f>((Assumptions!$K$4/12)*AQ$10)+((Assumptions!$K$4/12)*AQ$10)*Assumptions!$M$48</f>
        <v>493333.33333333337</v>
      </c>
      <c r="AR61" s="219">
        <f>((Assumptions!$K$4/12)*AR$10)+((Assumptions!$K$4/12)*AR$10)*Assumptions!$N$48</f>
        <v>728333.33333333337</v>
      </c>
      <c r="AS61" s="219">
        <f>((Assumptions!$K$4/12)*AS$10)+((Assumptions!$K$4/12)*AS$10)*Assumptions!$N$48</f>
        <v>747500</v>
      </c>
      <c r="AT61" s="219">
        <f>((Assumptions!$K$4/12)*AT$10)+((Assumptions!$K$4/12)*AT$10)*Assumptions!$N$48</f>
        <v>766666.66666666674</v>
      </c>
      <c r="AU61" s="219">
        <f>((Assumptions!$K$4/12)*AU$10)+((Assumptions!$K$4/12)*AU$10)*Assumptions!$N$48</f>
        <v>785833.33333333337</v>
      </c>
      <c r="AV61" s="219">
        <f>((Assumptions!$K$4/12)*AV$10)+((Assumptions!$K$4/12)*AV$10)*Assumptions!$N$48</f>
        <v>805000</v>
      </c>
      <c r="AW61" s="219">
        <f>((Assumptions!$K$4/12)*AW$10)+((Assumptions!$K$4/12)*AW$10)*Assumptions!$N$48</f>
        <v>824166.66666666674</v>
      </c>
      <c r="AX61" s="219">
        <f>((Assumptions!$K$4/12)*AX$10)+((Assumptions!$K$4/12)*AX$10)*Assumptions!$N$48</f>
        <v>843333.33333333337</v>
      </c>
      <c r="AY61" s="219">
        <f>((Assumptions!$K$4/12)*AY$10)+((Assumptions!$K$4/12)*AY$10)*Assumptions!$N$48</f>
        <v>862500</v>
      </c>
      <c r="AZ61" s="219">
        <f>((Assumptions!$K$4/12)*AZ$10)+((Assumptions!$K$4/12)*AZ$10)*Assumptions!$N$48</f>
        <v>881666.66666666674</v>
      </c>
      <c r="BA61" s="219">
        <f>((Assumptions!$K$4/12)*BA$10)+((Assumptions!$K$4/12)*BA$10)*Assumptions!$N$48</f>
        <v>900833.33333333337</v>
      </c>
      <c r="BB61" s="219">
        <f>((Assumptions!$K$4/12)*BB$10)+((Assumptions!$K$4/12)*BB$10)*Assumptions!$N$48</f>
        <v>920000</v>
      </c>
      <c r="BC61" s="219">
        <f>((Assumptions!$K$4/12)*BC$10)+((Assumptions!$K$4/12)*BC$10)*Assumptions!$N$48</f>
        <v>939166.66666666674</v>
      </c>
      <c r="BD61" s="219">
        <f>((Assumptions!$K$4/12)*BD$10)+((Assumptions!$K$4/12)*BD$10)*Assumptions!$O$48</f>
        <v>1250000</v>
      </c>
      <c r="BE61" s="219">
        <f>((Assumptions!$K$4/12)*BE$10)+((Assumptions!$K$4/12)*BE$10)*Assumptions!$O$48</f>
        <v>1275000.0000000002</v>
      </c>
      <c r="BF61" s="219">
        <f>((Assumptions!$K$4/12)*BF$10)+((Assumptions!$K$4/12)*BF$10)*Assumptions!$O$48</f>
        <v>1300000</v>
      </c>
      <c r="BG61" s="219">
        <f>((Assumptions!$K$4/12)*BG$10)+((Assumptions!$K$4/12)*BG$10)*Assumptions!$O$48</f>
        <v>1325000</v>
      </c>
      <c r="BH61" s="219">
        <f>((Assumptions!$K$4/12)*BH$10)+((Assumptions!$K$4/12)*BH$10)*Assumptions!$O$48</f>
        <v>1350000.0000000002</v>
      </c>
      <c r="BI61" s="219">
        <f>((Assumptions!$K$4/12)*BI$10)+((Assumptions!$K$4/12)*BI$10)*Assumptions!$O$48</f>
        <v>1375000</v>
      </c>
      <c r="BJ61" s="219">
        <f>((Assumptions!$K$4/12)*BJ$10)+((Assumptions!$K$4/12)*BJ$10)*Assumptions!$O$48</f>
        <v>1400000</v>
      </c>
      <c r="BK61" s="219">
        <f>((Assumptions!$K$4/12)*BK$10)+((Assumptions!$K$4/12)*BK$10)*Assumptions!$O$48</f>
        <v>1425000.0000000002</v>
      </c>
      <c r="BL61" s="219">
        <f>((Assumptions!$K$4/12)*BL$10)+((Assumptions!$K$4/12)*BL$10)*Assumptions!$O$48</f>
        <v>1450000</v>
      </c>
      <c r="BM61" s="219">
        <f>((Assumptions!$K$4/12)*BM$10)+((Assumptions!$K$4/12)*BM$10)*Assumptions!$O$48</f>
        <v>1475000</v>
      </c>
      <c r="BN61" s="219">
        <f>((Assumptions!$K$4/12)*BN$10)+((Assumptions!$K$4/12)*BN$10)*Assumptions!$O$48</f>
        <v>1500000.0000000002</v>
      </c>
      <c r="BO61" s="219">
        <f>((Assumptions!$K$4/12)*BO$10)+((Assumptions!$K$4/12)*BO$10)*Assumptions!$O$48</f>
        <v>1525000</v>
      </c>
    </row>
    <row r="62" spans="1:67" s="217" customFormat="1" x14ac:dyDescent="0.25">
      <c r="A62" s="215" t="str">
        <f>Assumptions!$J$5</f>
        <v>Pre Sales Person</v>
      </c>
      <c r="B62" s="216"/>
      <c r="D62" s="218"/>
      <c r="E62" s="218"/>
      <c r="F62" s="218"/>
      <c r="G62" s="218"/>
      <c r="H62" s="219">
        <f>((Assumptions!$K$5/12)*H$13)+((Assumptions!$K$5/12)*H$13)*Assumptions!$K$48</f>
        <v>0</v>
      </c>
      <c r="I62" s="219">
        <f>((Assumptions!$K$5/12)*I$13)+((Assumptions!$K$5/12)*I$13)*Assumptions!$K$48</f>
        <v>0</v>
      </c>
      <c r="J62" s="219">
        <f>((Assumptions!$K$5/12)*J$13)+((Assumptions!$K$5/12)*J$13)*Assumptions!$K$48</f>
        <v>0</v>
      </c>
      <c r="K62" s="219">
        <f>((Assumptions!$K$5/12)*K$13)+((Assumptions!$K$5/12)*K$13)*Assumptions!$K$48</f>
        <v>6666.666666666667</v>
      </c>
      <c r="L62" s="219">
        <f>((Assumptions!$K$5/12)*L$13)+((Assumptions!$K$5/12)*L$13)*Assumptions!$K$48</f>
        <v>6666.666666666667</v>
      </c>
      <c r="M62" s="219">
        <f>((Assumptions!$K$5/12)*M$13)+((Assumptions!$K$5/12)*M$13)*Assumptions!$K$48</f>
        <v>6666.666666666667</v>
      </c>
      <c r="N62" s="219">
        <f>((Assumptions!$K$5/12)*N$13)+((Assumptions!$K$5/12)*N$13)*Assumptions!$K$48</f>
        <v>6666.666666666667</v>
      </c>
      <c r="O62" s="219">
        <f>((Assumptions!$K$5/12)*O$13)+((Assumptions!$K$5/12)*O$13)*Assumptions!$K$48</f>
        <v>6666.666666666667</v>
      </c>
      <c r="P62" s="219">
        <f>((Assumptions!$K$5/12)*P$13)+((Assumptions!$K$5/12)*P$13)*Assumptions!$K$48</f>
        <v>13333.333333333334</v>
      </c>
      <c r="Q62" s="219">
        <f>((Assumptions!$K$5/12)*Q$13)+((Assumptions!$K$5/12)*Q$13)*Assumptions!$K$48</f>
        <v>13333.333333333334</v>
      </c>
      <c r="R62" s="219">
        <f>((Assumptions!$K$5/12)*R$13)+((Assumptions!$K$5/12)*R$13)*Assumptions!$K$48</f>
        <v>13333.333333333334</v>
      </c>
      <c r="S62" s="219">
        <f>((Assumptions!$K$5/12)*S$13)+((Assumptions!$K$5/12)*S$13)*Assumptions!$K$48</f>
        <v>13333.333333333334</v>
      </c>
      <c r="T62" s="219">
        <f>((Assumptions!$K$5/12)*T$13)+((Assumptions!$K$5/12)*T$13)*Assumptions!$L$48</f>
        <v>16666.666666666668</v>
      </c>
      <c r="U62" s="219">
        <f>((Assumptions!$K$5/12)*U$13)+((Assumptions!$K$5/12)*U$13)*Assumptions!$L$48</f>
        <v>25000</v>
      </c>
      <c r="V62" s="219">
        <f>((Assumptions!$K$5/12)*V$13)+((Assumptions!$K$5/12)*V$13)*Assumptions!$L$48</f>
        <v>25000</v>
      </c>
      <c r="W62" s="219">
        <f>((Assumptions!$K$5/12)*W$13)+((Assumptions!$K$5/12)*W$13)*Assumptions!$L$48</f>
        <v>25000</v>
      </c>
      <c r="X62" s="219">
        <f>((Assumptions!$K$5/12)*X$13)+((Assumptions!$K$5/12)*X$13)*Assumptions!$L$48</f>
        <v>25000</v>
      </c>
      <c r="Y62" s="219">
        <f>((Assumptions!$K$5/12)*Y$13)+((Assumptions!$K$5/12)*Y$13)*Assumptions!$L$48</f>
        <v>25000</v>
      </c>
      <c r="Z62" s="219">
        <f>((Assumptions!$K$5/12)*Z$13)+((Assumptions!$K$5/12)*Z$13)*Assumptions!$L$48</f>
        <v>33333.333333333336</v>
      </c>
      <c r="AA62" s="219">
        <f>((Assumptions!$K$5/12)*AA$13)+((Assumptions!$K$5/12)*AA$13)*Assumptions!$L$48</f>
        <v>33333.333333333336</v>
      </c>
      <c r="AB62" s="219">
        <f>((Assumptions!$K$5/12)*AB$13)+((Assumptions!$K$5/12)*AB$13)*Assumptions!$L$48</f>
        <v>33333.333333333336</v>
      </c>
      <c r="AC62" s="219">
        <f>((Assumptions!$K$5/12)*AC$13)+((Assumptions!$K$5/12)*AC$13)*Assumptions!$L$48</f>
        <v>33333.333333333336</v>
      </c>
      <c r="AD62" s="219">
        <f>((Assumptions!$K$5/12)*AD$13)+((Assumptions!$K$5/12)*AD$13)*Assumptions!$L$48</f>
        <v>33333.333333333336</v>
      </c>
      <c r="AE62" s="219">
        <f>((Assumptions!$K$5/12)*AE$13)+((Assumptions!$K$5/12)*AE$13)*Assumptions!$L$48</f>
        <v>41666.666666666672</v>
      </c>
      <c r="AF62" s="219">
        <f>((Assumptions!$K$5/12)*AF$13)+((Assumptions!$K$5/12)*AF$13)*Assumptions!$M$48</f>
        <v>53333.333333333336</v>
      </c>
      <c r="AG62" s="219">
        <f>((Assumptions!$K$5/12)*AG$13)+((Assumptions!$K$5/12)*AG$13)*Assumptions!$M$48</f>
        <v>53333.333333333336</v>
      </c>
      <c r="AH62" s="219">
        <f>((Assumptions!$K$5/12)*AH$13)+((Assumptions!$K$5/12)*AH$13)*Assumptions!$M$48</f>
        <v>53333.333333333336</v>
      </c>
      <c r="AI62" s="219">
        <f>((Assumptions!$K$5/12)*AI$13)+((Assumptions!$K$5/12)*AI$13)*Assumptions!$M$48</f>
        <v>53333.333333333336</v>
      </c>
      <c r="AJ62" s="219">
        <f>((Assumptions!$K$5/12)*AJ$13)+((Assumptions!$K$5/12)*AJ$13)*Assumptions!$M$48</f>
        <v>64000</v>
      </c>
      <c r="AK62" s="219">
        <f>((Assumptions!$K$5/12)*AK$13)+((Assumptions!$K$5/12)*AK$13)*Assumptions!$M$48</f>
        <v>64000</v>
      </c>
      <c r="AL62" s="219">
        <f>((Assumptions!$K$5/12)*AL$13)+((Assumptions!$K$5/12)*AL$13)*Assumptions!$M$48</f>
        <v>64000</v>
      </c>
      <c r="AM62" s="219">
        <f>((Assumptions!$K$5/12)*AM$13)+((Assumptions!$K$5/12)*AM$13)*Assumptions!$M$48</f>
        <v>64000</v>
      </c>
      <c r="AN62" s="219">
        <f>((Assumptions!$K$5/12)*AN$13)+((Assumptions!$K$5/12)*AN$13)*Assumptions!$M$48</f>
        <v>64000</v>
      </c>
      <c r="AO62" s="219">
        <f>((Assumptions!$K$5/12)*AO$13)+((Assumptions!$K$5/12)*AO$13)*Assumptions!$M$48</f>
        <v>74666.666666666672</v>
      </c>
      <c r="AP62" s="219">
        <f>((Assumptions!$K$5/12)*AP$13)+((Assumptions!$K$5/12)*AP$13)*Assumptions!$M$48</f>
        <v>74666.666666666672</v>
      </c>
      <c r="AQ62" s="219">
        <f>((Assumptions!$K$5/12)*AQ$13)+((Assumptions!$K$5/12)*AQ$13)*Assumptions!$M$48</f>
        <v>74666.666666666672</v>
      </c>
      <c r="AR62" s="219">
        <f>((Assumptions!$K$5/12)*AR$13)+((Assumptions!$K$5/12)*AR$13)*Assumptions!$N$48</f>
        <v>107333.33333333334</v>
      </c>
      <c r="AS62" s="219">
        <f>((Assumptions!$K$5/12)*AS$13)+((Assumptions!$K$5/12)*AS$13)*Assumptions!$N$48</f>
        <v>107333.33333333334</v>
      </c>
      <c r="AT62" s="219">
        <f>((Assumptions!$K$5/12)*AT$13)+((Assumptions!$K$5/12)*AT$13)*Assumptions!$N$48</f>
        <v>122666.66666666669</v>
      </c>
      <c r="AU62" s="219">
        <f>((Assumptions!$K$5/12)*AU$13)+((Assumptions!$K$5/12)*AU$13)*Assumptions!$N$48</f>
        <v>122666.66666666669</v>
      </c>
      <c r="AV62" s="219">
        <f>((Assumptions!$K$5/12)*AV$13)+((Assumptions!$K$5/12)*AV$13)*Assumptions!$N$48</f>
        <v>122666.66666666669</v>
      </c>
      <c r="AW62" s="219">
        <f>((Assumptions!$K$5/12)*AW$13)+((Assumptions!$K$5/12)*AW$13)*Assumptions!$N$48</f>
        <v>122666.66666666669</v>
      </c>
      <c r="AX62" s="219">
        <f>((Assumptions!$K$5/12)*AX$13)+((Assumptions!$K$5/12)*AX$13)*Assumptions!$N$48</f>
        <v>122666.66666666669</v>
      </c>
      <c r="AY62" s="219">
        <f>((Assumptions!$K$5/12)*AY$13)+((Assumptions!$K$5/12)*AY$13)*Assumptions!$N$48</f>
        <v>138000</v>
      </c>
      <c r="AZ62" s="219">
        <f>((Assumptions!$K$5/12)*AZ$13)+((Assumptions!$K$5/12)*AZ$13)*Assumptions!$N$48</f>
        <v>138000</v>
      </c>
      <c r="BA62" s="219">
        <f>((Assumptions!$K$5/12)*BA$13)+((Assumptions!$K$5/12)*BA$13)*Assumptions!$N$48</f>
        <v>138000</v>
      </c>
      <c r="BB62" s="219">
        <f>((Assumptions!$K$5/12)*BB$13)+((Assumptions!$K$5/12)*BB$13)*Assumptions!$N$48</f>
        <v>138000</v>
      </c>
      <c r="BC62" s="219">
        <f>((Assumptions!$K$5/12)*BC$13)+((Assumptions!$K$5/12)*BC$13)*Assumptions!$N$48</f>
        <v>138000</v>
      </c>
      <c r="BD62" s="219">
        <f>((Assumptions!$K$5/12)*BD$13)+((Assumptions!$K$5/12)*BD$13)*Assumptions!$O$48</f>
        <v>200000</v>
      </c>
      <c r="BE62" s="219">
        <f>((Assumptions!$K$5/12)*BE$13)+((Assumptions!$K$5/12)*BE$13)*Assumptions!$O$48</f>
        <v>200000</v>
      </c>
      <c r="BF62" s="219">
        <f>((Assumptions!$K$5/12)*BF$13)+((Assumptions!$K$5/12)*BF$13)*Assumptions!$O$48</f>
        <v>200000</v>
      </c>
      <c r="BG62" s="219">
        <f>((Assumptions!$K$5/12)*BG$13)+((Assumptions!$K$5/12)*BG$13)*Assumptions!$O$48</f>
        <v>200000</v>
      </c>
      <c r="BH62" s="219">
        <f>((Assumptions!$K$5/12)*BH$13)+((Assumptions!$K$5/12)*BH$13)*Assumptions!$O$48</f>
        <v>200000</v>
      </c>
      <c r="BI62" s="219">
        <f>((Assumptions!$K$5/12)*BI$13)+((Assumptions!$K$5/12)*BI$13)*Assumptions!$O$48</f>
        <v>220000.00000000003</v>
      </c>
      <c r="BJ62" s="219">
        <f>((Assumptions!$K$5/12)*BJ$13)+((Assumptions!$K$5/12)*BJ$13)*Assumptions!$O$48</f>
        <v>220000.00000000003</v>
      </c>
      <c r="BK62" s="219">
        <f>((Assumptions!$K$5/12)*BK$13)+((Assumptions!$K$5/12)*BK$13)*Assumptions!$O$48</f>
        <v>220000.00000000003</v>
      </c>
      <c r="BL62" s="219">
        <f>((Assumptions!$K$5/12)*BL$13)+((Assumptions!$K$5/12)*BL$13)*Assumptions!$O$48</f>
        <v>220000.00000000003</v>
      </c>
      <c r="BM62" s="219">
        <f>((Assumptions!$K$5/12)*BM$13)+((Assumptions!$K$5/12)*BM$13)*Assumptions!$O$48</f>
        <v>220000.00000000003</v>
      </c>
      <c r="BN62" s="219">
        <f>((Assumptions!$K$5/12)*BN$13)+((Assumptions!$K$5/12)*BN$13)*Assumptions!$O$48</f>
        <v>240000</v>
      </c>
      <c r="BO62" s="219">
        <f>((Assumptions!$K$5/12)*BO$13)+((Assumptions!$K$5/12)*BO$13)*Assumptions!$O$48</f>
        <v>240000</v>
      </c>
    </row>
    <row r="63" spans="1:67" s="217" customFormat="1" x14ac:dyDescent="0.25">
      <c r="A63" s="215" t="str">
        <f>Assumptions!$J$6</f>
        <v>Sales Assistant</v>
      </c>
      <c r="B63" s="216"/>
      <c r="D63" s="218"/>
      <c r="E63" s="218"/>
      <c r="F63" s="218"/>
      <c r="G63" s="218"/>
      <c r="H63" s="219">
        <f>((Assumptions!$K$6/12)*H$14)+((Assumptions!$K$6/12)*H$14)*Assumptions!$K$48</f>
        <v>0</v>
      </c>
      <c r="I63" s="219">
        <f>((Assumptions!$K$6/12)*I$14)+((Assumptions!$K$6/12)*I$14)*Assumptions!$K$48</f>
        <v>0</v>
      </c>
      <c r="J63" s="219">
        <f>((Assumptions!$K$6/12)*J$14)+((Assumptions!$K$6/12)*J$14)*Assumptions!$K$48</f>
        <v>0</v>
      </c>
      <c r="K63" s="219">
        <f>((Assumptions!$K$6/12)*K$14)+((Assumptions!$K$6/12)*K$14)*Assumptions!$K$48</f>
        <v>0</v>
      </c>
      <c r="L63" s="219">
        <f>((Assumptions!$K$6/12)*L$14)+((Assumptions!$K$6/12)*L$14)*Assumptions!$K$48</f>
        <v>0</v>
      </c>
      <c r="M63" s="219">
        <f>((Assumptions!$K$6/12)*M$14)+((Assumptions!$K$6/12)*M$14)*Assumptions!$K$48</f>
        <v>0</v>
      </c>
      <c r="N63" s="219">
        <f>((Assumptions!$K$6/12)*N$14)+((Assumptions!$K$6/12)*N$14)*Assumptions!$K$48</f>
        <v>0</v>
      </c>
      <c r="O63" s="219">
        <f>((Assumptions!$K$6/12)*O$14)+((Assumptions!$K$6/12)*O$14)*Assumptions!$K$48</f>
        <v>0</v>
      </c>
      <c r="P63" s="219">
        <f>((Assumptions!$K$6/12)*P$14)+((Assumptions!$K$6/12)*P$14)*Assumptions!$K$48</f>
        <v>6250</v>
      </c>
      <c r="Q63" s="219">
        <f>((Assumptions!$K$6/12)*Q$14)+((Assumptions!$K$6/12)*Q$14)*Assumptions!$K$48</f>
        <v>6250</v>
      </c>
      <c r="R63" s="219">
        <f>((Assumptions!$K$6/12)*R$14)+((Assumptions!$K$6/12)*R$14)*Assumptions!$K$48</f>
        <v>6250</v>
      </c>
      <c r="S63" s="219">
        <f>((Assumptions!$K$6/12)*S$14)+((Assumptions!$K$6/12)*S$14)*Assumptions!$K$48</f>
        <v>6250</v>
      </c>
      <c r="T63" s="219">
        <f>((Assumptions!$K$6/12)*T$14)+((Assumptions!$K$6/12)*T$14)*Assumptions!$L$48</f>
        <v>7812.5</v>
      </c>
      <c r="U63" s="219">
        <f>((Assumptions!$K$6/12)*U$14)+((Assumptions!$K$6/12)*U$14)*Assumptions!$L$48</f>
        <v>7812.5</v>
      </c>
      <c r="V63" s="219">
        <f>((Assumptions!$K$6/12)*V$14)+((Assumptions!$K$6/12)*V$14)*Assumptions!$L$48</f>
        <v>7812.5</v>
      </c>
      <c r="W63" s="219">
        <f>((Assumptions!$K$6/12)*W$14)+((Assumptions!$K$6/12)*W$14)*Assumptions!$L$48</f>
        <v>7812.5</v>
      </c>
      <c r="X63" s="219">
        <f>((Assumptions!$K$6/12)*X$14)+((Assumptions!$K$6/12)*X$14)*Assumptions!$L$48</f>
        <v>7812.5</v>
      </c>
      <c r="Y63" s="219">
        <f>((Assumptions!$K$6/12)*Y$14)+((Assumptions!$K$6/12)*Y$14)*Assumptions!$L$48</f>
        <v>7812.5</v>
      </c>
      <c r="Z63" s="219">
        <f>((Assumptions!$K$6/12)*Z$14)+((Assumptions!$K$6/12)*Z$14)*Assumptions!$L$48</f>
        <v>15625</v>
      </c>
      <c r="AA63" s="219">
        <f>((Assumptions!$K$6/12)*AA$14)+((Assumptions!$K$6/12)*AA$14)*Assumptions!$L$48</f>
        <v>15625</v>
      </c>
      <c r="AB63" s="219">
        <f>((Assumptions!$K$6/12)*AB$14)+((Assumptions!$K$6/12)*AB$14)*Assumptions!$L$48</f>
        <v>15625</v>
      </c>
      <c r="AC63" s="219">
        <f>((Assumptions!$K$6/12)*AC$14)+((Assumptions!$K$6/12)*AC$14)*Assumptions!$L$48</f>
        <v>15625</v>
      </c>
      <c r="AD63" s="219">
        <f>((Assumptions!$K$6/12)*AD$14)+((Assumptions!$K$6/12)*AD$14)*Assumptions!$L$48</f>
        <v>15625</v>
      </c>
      <c r="AE63" s="219">
        <f>((Assumptions!$K$6/12)*AE$14)+((Assumptions!$K$6/12)*AE$14)*Assumptions!$L$48</f>
        <v>15625</v>
      </c>
      <c r="AF63" s="219">
        <f>((Assumptions!$K$6/12)*AF$14)+((Assumptions!$K$6/12)*AF$14)*Assumptions!$M$48</f>
        <v>20000</v>
      </c>
      <c r="AG63" s="219">
        <f>((Assumptions!$K$6/12)*AG$14)+((Assumptions!$K$6/12)*AG$14)*Assumptions!$M$48</f>
        <v>20000</v>
      </c>
      <c r="AH63" s="219">
        <f>((Assumptions!$K$6/12)*AH$14)+((Assumptions!$K$6/12)*AH$14)*Assumptions!$M$48</f>
        <v>20000</v>
      </c>
      <c r="AI63" s="219">
        <f>((Assumptions!$K$6/12)*AI$14)+((Assumptions!$K$6/12)*AI$14)*Assumptions!$M$48</f>
        <v>20000</v>
      </c>
      <c r="AJ63" s="219">
        <f>((Assumptions!$K$6/12)*AJ$14)+((Assumptions!$K$6/12)*AJ$14)*Assumptions!$M$48</f>
        <v>30000</v>
      </c>
      <c r="AK63" s="219">
        <f>((Assumptions!$K$6/12)*AK$14)+((Assumptions!$K$6/12)*AK$14)*Assumptions!$M$48</f>
        <v>30000</v>
      </c>
      <c r="AL63" s="219">
        <f>((Assumptions!$K$6/12)*AL$14)+((Assumptions!$K$6/12)*AL$14)*Assumptions!$M$48</f>
        <v>30000</v>
      </c>
      <c r="AM63" s="219">
        <f>((Assumptions!$K$6/12)*AM$14)+((Assumptions!$K$6/12)*AM$14)*Assumptions!$M$48</f>
        <v>30000</v>
      </c>
      <c r="AN63" s="219">
        <f>((Assumptions!$K$6/12)*AN$14)+((Assumptions!$K$6/12)*AN$14)*Assumptions!$M$48</f>
        <v>30000</v>
      </c>
      <c r="AO63" s="219">
        <f>((Assumptions!$K$6/12)*AO$14)+((Assumptions!$K$6/12)*AO$14)*Assumptions!$M$48</f>
        <v>30000</v>
      </c>
      <c r="AP63" s="219">
        <f>((Assumptions!$K$6/12)*AP$14)+((Assumptions!$K$6/12)*AP$14)*Assumptions!$M$48</f>
        <v>30000</v>
      </c>
      <c r="AQ63" s="219">
        <f>((Assumptions!$K$6/12)*AQ$14)+((Assumptions!$K$6/12)*AQ$14)*Assumptions!$M$48</f>
        <v>30000</v>
      </c>
      <c r="AR63" s="219">
        <f>((Assumptions!$K$6/12)*AR$14)+((Assumptions!$K$6/12)*AR$14)*Assumptions!$N$48</f>
        <v>43125</v>
      </c>
      <c r="AS63" s="219">
        <f>((Assumptions!$K$6/12)*AS$14)+((Assumptions!$K$6/12)*AS$14)*Assumptions!$N$48</f>
        <v>43125</v>
      </c>
      <c r="AT63" s="219">
        <f>((Assumptions!$K$6/12)*AT$14)+((Assumptions!$K$6/12)*AT$14)*Assumptions!$N$48</f>
        <v>57500</v>
      </c>
      <c r="AU63" s="219">
        <f>((Assumptions!$K$6/12)*AU$14)+((Assumptions!$K$6/12)*AU$14)*Assumptions!$N$48</f>
        <v>57500</v>
      </c>
      <c r="AV63" s="219">
        <f>((Assumptions!$K$6/12)*AV$14)+((Assumptions!$K$6/12)*AV$14)*Assumptions!$N$48</f>
        <v>57500</v>
      </c>
      <c r="AW63" s="219">
        <f>((Assumptions!$K$6/12)*AW$14)+((Assumptions!$K$6/12)*AW$14)*Assumptions!$N$48</f>
        <v>57500</v>
      </c>
      <c r="AX63" s="219">
        <f>((Assumptions!$K$6/12)*AX$14)+((Assumptions!$K$6/12)*AX$14)*Assumptions!$N$48</f>
        <v>57500</v>
      </c>
      <c r="AY63" s="219">
        <f>((Assumptions!$K$6/12)*AY$14)+((Assumptions!$K$6/12)*AY$14)*Assumptions!$N$48</f>
        <v>57500</v>
      </c>
      <c r="AZ63" s="219">
        <f>((Assumptions!$K$6/12)*AZ$14)+((Assumptions!$K$6/12)*AZ$14)*Assumptions!$N$48</f>
        <v>57500</v>
      </c>
      <c r="BA63" s="219">
        <f>((Assumptions!$K$6/12)*BA$14)+((Assumptions!$K$6/12)*BA$14)*Assumptions!$N$48</f>
        <v>57500</v>
      </c>
      <c r="BB63" s="219">
        <f>((Assumptions!$K$6/12)*BB$14)+((Assumptions!$K$6/12)*BB$14)*Assumptions!$N$48</f>
        <v>57500</v>
      </c>
      <c r="BC63" s="219">
        <f>((Assumptions!$K$6/12)*BC$14)+((Assumptions!$K$6/12)*BC$14)*Assumptions!$N$48</f>
        <v>57500</v>
      </c>
      <c r="BD63" s="219">
        <f>((Assumptions!$K$6/12)*BD$14)+((Assumptions!$K$6/12)*BD$14)*Assumptions!$O$48</f>
        <v>93750</v>
      </c>
      <c r="BE63" s="219">
        <f>((Assumptions!$K$6/12)*BE$14)+((Assumptions!$K$6/12)*BE$14)*Assumptions!$O$48</f>
        <v>93750</v>
      </c>
      <c r="BF63" s="219">
        <f>((Assumptions!$K$6/12)*BF$14)+((Assumptions!$K$6/12)*BF$14)*Assumptions!$O$48</f>
        <v>93750</v>
      </c>
      <c r="BG63" s="219">
        <f>((Assumptions!$K$6/12)*BG$14)+((Assumptions!$K$6/12)*BG$14)*Assumptions!$O$48</f>
        <v>93750</v>
      </c>
      <c r="BH63" s="219">
        <f>((Assumptions!$K$6/12)*BH$14)+((Assumptions!$K$6/12)*BH$14)*Assumptions!$O$48</f>
        <v>93750</v>
      </c>
      <c r="BI63" s="219">
        <f>((Assumptions!$K$6/12)*BI$14)+((Assumptions!$K$6/12)*BI$14)*Assumptions!$O$48</f>
        <v>93750</v>
      </c>
      <c r="BJ63" s="219">
        <f>((Assumptions!$K$6/12)*BJ$14)+((Assumptions!$K$6/12)*BJ$14)*Assumptions!$O$48</f>
        <v>93750</v>
      </c>
      <c r="BK63" s="219">
        <f>((Assumptions!$K$6/12)*BK$14)+((Assumptions!$K$6/12)*BK$14)*Assumptions!$O$48</f>
        <v>93750</v>
      </c>
      <c r="BL63" s="219">
        <f>((Assumptions!$K$6/12)*BL$14)+((Assumptions!$K$6/12)*BL$14)*Assumptions!$O$48</f>
        <v>93750</v>
      </c>
      <c r="BM63" s="219">
        <f>((Assumptions!$K$6/12)*BM$14)+((Assumptions!$K$6/12)*BM$14)*Assumptions!$O$48</f>
        <v>93750</v>
      </c>
      <c r="BN63" s="219">
        <f>((Assumptions!$K$6/12)*BN$14)+((Assumptions!$K$6/12)*BN$14)*Assumptions!$O$48</f>
        <v>112500</v>
      </c>
      <c r="BO63" s="219">
        <f>((Assumptions!$K$6/12)*BO$14)+((Assumptions!$K$6/12)*BO$14)*Assumptions!$O$48</f>
        <v>112500</v>
      </c>
    </row>
    <row r="64" spans="1:67" s="25" customFormat="1" x14ac:dyDescent="0.25">
      <c r="A64" s="25" t="s">
        <v>243</v>
      </c>
      <c r="B64" s="202">
        <f>MAX(D64:AQ64)</f>
        <v>618000</v>
      </c>
      <c r="D64" s="25">
        <f>SUM(D59:D63)</f>
        <v>0</v>
      </c>
      <c r="E64" s="25">
        <f t="shared" ref="E64:BO64" si="21">SUM(E59:E63)</f>
        <v>0</v>
      </c>
      <c r="F64" s="25">
        <f t="shared" si="21"/>
        <v>0</v>
      </c>
      <c r="G64" s="25">
        <f t="shared" si="21"/>
        <v>0</v>
      </c>
      <c r="H64" s="25">
        <f t="shared" si="21"/>
        <v>29166.666666666668</v>
      </c>
      <c r="I64" s="25">
        <f t="shared" si="21"/>
        <v>37500</v>
      </c>
      <c r="J64" s="25">
        <f t="shared" si="21"/>
        <v>45833.333333333336</v>
      </c>
      <c r="K64" s="25">
        <f t="shared" si="21"/>
        <v>60833.333333333336</v>
      </c>
      <c r="L64" s="25">
        <f t="shared" si="21"/>
        <v>69166.666666666672</v>
      </c>
      <c r="M64" s="25">
        <f t="shared" si="21"/>
        <v>77500.000000000015</v>
      </c>
      <c r="N64" s="25">
        <f t="shared" si="21"/>
        <v>85833.333333333343</v>
      </c>
      <c r="O64" s="25">
        <f t="shared" si="21"/>
        <v>94166.666666666672</v>
      </c>
      <c r="P64" s="25">
        <f t="shared" si="21"/>
        <v>115416.66666666667</v>
      </c>
      <c r="Q64" s="25">
        <f t="shared" si="21"/>
        <v>123750</v>
      </c>
      <c r="R64" s="25">
        <f t="shared" si="21"/>
        <v>132083.33333333331</v>
      </c>
      <c r="S64" s="25">
        <f t="shared" si="21"/>
        <v>140416.66666666669</v>
      </c>
      <c r="T64" s="25">
        <f t="shared" si="21"/>
        <v>185937.5</v>
      </c>
      <c r="U64" s="25">
        <f t="shared" si="21"/>
        <v>204687.50000000003</v>
      </c>
      <c r="V64" s="25">
        <f t="shared" si="21"/>
        <v>215104.16666666669</v>
      </c>
      <c r="W64" s="25">
        <f t="shared" si="21"/>
        <v>225520.83333333337</v>
      </c>
      <c r="X64" s="25">
        <f t="shared" si="21"/>
        <v>235937.5</v>
      </c>
      <c r="Y64" s="25">
        <f t="shared" si="21"/>
        <v>246354.16666666669</v>
      </c>
      <c r="Z64" s="25">
        <f t="shared" si="21"/>
        <v>272916.66666666674</v>
      </c>
      <c r="AA64" s="25">
        <f t="shared" si="21"/>
        <v>283333.33333333331</v>
      </c>
      <c r="AB64" s="25">
        <f t="shared" si="21"/>
        <v>293750</v>
      </c>
      <c r="AC64" s="25">
        <f t="shared" si="21"/>
        <v>304166.66666666669</v>
      </c>
      <c r="AD64" s="25">
        <f t="shared" si="21"/>
        <v>314583.33333333331</v>
      </c>
      <c r="AE64" s="25">
        <f t="shared" si="21"/>
        <v>333333.33333333337</v>
      </c>
      <c r="AF64" s="25">
        <f t="shared" si="21"/>
        <v>440000</v>
      </c>
      <c r="AG64" s="25">
        <f t="shared" si="21"/>
        <v>453333.33333333331</v>
      </c>
      <c r="AH64" s="25">
        <f t="shared" si="21"/>
        <v>466666.66666666669</v>
      </c>
      <c r="AI64" s="25">
        <f t="shared" si="21"/>
        <v>480000</v>
      </c>
      <c r="AJ64" s="25">
        <f t="shared" si="21"/>
        <v>514000</v>
      </c>
      <c r="AK64" s="25">
        <f t="shared" si="21"/>
        <v>527333.33333333337</v>
      </c>
      <c r="AL64" s="25">
        <f t="shared" si="21"/>
        <v>540666.66666666674</v>
      </c>
      <c r="AM64" s="25">
        <f t="shared" si="21"/>
        <v>554000</v>
      </c>
      <c r="AN64" s="25">
        <f t="shared" si="21"/>
        <v>567333.33333333337</v>
      </c>
      <c r="AO64" s="25">
        <f t="shared" si="21"/>
        <v>591333.33333333337</v>
      </c>
      <c r="AP64" s="25">
        <f t="shared" si="21"/>
        <v>604666.66666666663</v>
      </c>
      <c r="AQ64" s="25">
        <f t="shared" si="21"/>
        <v>618000</v>
      </c>
      <c r="AR64" s="25">
        <f t="shared" si="21"/>
        <v>907541.66666666674</v>
      </c>
      <c r="AS64" s="25">
        <f t="shared" si="21"/>
        <v>926708.33333333337</v>
      </c>
      <c r="AT64" s="25">
        <f t="shared" si="21"/>
        <v>975583.33333333349</v>
      </c>
      <c r="AU64" s="25">
        <f t="shared" si="21"/>
        <v>994750</v>
      </c>
      <c r="AV64" s="25">
        <f t="shared" si="21"/>
        <v>1013916.6666666667</v>
      </c>
      <c r="AW64" s="25">
        <f t="shared" si="21"/>
        <v>1033083.3333333335</v>
      </c>
      <c r="AX64" s="25">
        <f t="shared" si="21"/>
        <v>1052250</v>
      </c>
      <c r="AY64" s="25">
        <f t="shared" si="21"/>
        <v>1086750</v>
      </c>
      <c r="AZ64" s="25">
        <f t="shared" si="21"/>
        <v>1105916.6666666667</v>
      </c>
      <c r="BA64" s="25">
        <f t="shared" si="21"/>
        <v>1125083.3333333335</v>
      </c>
      <c r="BB64" s="25">
        <f t="shared" si="21"/>
        <v>1144250</v>
      </c>
      <c r="BC64" s="25">
        <f t="shared" si="21"/>
        <v>1163416.6666666667</v>
      </c>
      <c r="BD64" s="25">
        <f t="shared" si="21"/>
        <v>1581250</v>
      </c>
      <c r="BE64" s="25">
        <f t="shared" si="21"/>
        <v>1606250.0000000002</v>
      </c>
      <c r="BF64" s="25">
        <f t="shared" si="21"/>
        <v>1631250</v>
      </c>
      <c r="BG64" s="25">
        <f t="shared" si="21"/>
        <v>1656250</v>
      </c>
      <c r="BH64" s="25">
        <f t="shared" si="21"/>
        <v>1681250.0000000002</v>
      </c>
      <c r="BI64" s="25">
        <f t="shared" si="21"/>
        <v>1726250</v>
      </c>
      <c r="BJ64" s="25">
        <f t="shared" si="21"/>
        <v>1751250</v>
      </c>
      <c r="BK64" s="25">
        <f t="shared" si="21"/>
        <v>1776250.0000000002</v>
      </c>
      <c r="BL64" s="25">
        <f t="shared" si="21"/>
        <v>1801250</v>
      </c>
      <c r="BM64" s="25">
        <f t="shared" si="21"/>
        <v>1826250</v>
      </c>
      <c r="BN64" s="25">
        <f t="shared" si="21"/>
        <v>1890000.0000000002</v>
      </c>
      <c r="BO64" s="25">
        <f t="shared" si="21"/>
        <v>1915000</v>
      </c>
    </row>
    <row r="65" spans="1:67" x14ac:dyDescent="0.25">
      <c r="B65" s="202"/>
    </row>
    <row r="66" spans="1:67" x14ac:dyDescent="0.25">
      <c r="A66" s="197" t="s">
        <v>177</v>
      </c>
      <c r="B66" s="202"/>
    </row>
    <row r="67" spans="1:67" x14ac:dyDescent="0.25">
      <c r="A67" s="213" t="str">
        <f>Assumptions!$J$9</f>
        <v>CEO</v>
      </c>
      <c r="B67" s="202" t="b">
        <f>(H67*12)=Assumptions!K9</f>
        <v>1</v>
      </c>
      <c r="D67" s="214"/>
      <c r="E67" s="214"/>
      <c r="F67" s="214"/>
      <c r="G67" s="214"/>
      <c r="H67" s="51">
        <f>(Assumptions!$K9/12)+(Assumptions!$K9/12)*Assumptions!$K$48</f>
        <v>20000</v>
      </c>
      <c r="I67" s="51">
        <f>(Assumptions!$K9/12)+(Assumptions!$K9/12)*Assumptions!$K$48</f>
        <v>20000</v>
      </c>
      <c r="J67" s="51">
        <f>(Assumptions!$K9/12)+(Assumptions!$K9/12)*Assumptions!$K$48</f>
        <v>20000</v>
      </c>
      <c r="K67" s="51">
        <f>(Assumptions!$K9/12)+(Assumptions!$K9/12)*Assumptions!$K$48</f>
        <v>20000</v>
      </c>
      <c r="L67" s="51">
        <f>(Assumptions!$K9/12)+(Assumptions!$K9/12)*Assumptions!$K$48</f>
        <v>20000</v>
      </c>
      <c r="M67" s="51">
        <f>(Assumptions!$K9/12)+(Assumptions!$K9/12)*Assumptions!$K$48</f>
        <v>20000</v>
      </c>
      <c r="N67" s="51">
        <f>(Assumptions!$K9/12)+(Assumptions!$K9/12)*Assumptions!$K$48</f>
        <v>20000</v>
      </c>
      <c r="O67" s="51">
        <f>(Assumptions!$K9/12)+(Assumptions!$K9/12)*Assumptions!$K$48</f>
        <v>20000</v>
      </c>
      <c r="P67" s="51">
        <f>(Assumptions!$K9/12)+(Assumptions!$K9/12)*Assumptions!$K$48</f>
        <v>20000</v>
      </c>
      <c r="Q67" s="51">
        <f>(Assumptions!$K9/12)+(Assumptions!$K9/12)*Assumptions!$K$48</f>
        <v>20000</v>
      </c>
      <c r="R67" s="51">
        <f>(Assumptions!$K9/12)+(Assumptions!$K9/12)*Assumptions!$K$48</f>
        <v>20000</v>
      </c>
      <c r="S67" s="51">
        <f>(Assumptions!$K9/12)+(Assumptions!$K9/12)*Assumptions!$K$48</f>
        <v>20000</v>
      </c>
      <c r="T67" s="51">
        <f>(Assumptions!$K9/12)+(Assumptions!$K9/12)*Assumptions!$L$48</f>
        <v>25000</v>
      </c>
      <c r="U67" s="51">
        <f>(Assumptions!$K9/12)+(Assumptions!$K9/12)*Assumptions!$L$48</f>
        <v>25000</v>
      </c>
      <c r="V67" s="51">
        <f>(Assumptions!$K9/12)+(Assumptions!$K9/12)*Assumptions!$L$48</f>
        <v>25000</v>
      </c>
      <c r="W67" s="51">
        <f>(Assumptions!$K9/12)+(Assumptions!$K9/12)*Assumptions!$L$48</f>
        <v>25000</v>
      </c>
      <c r="X67" s="51">
        <f>(Assumptions!$K9/12)+(Assumptions!$K9/12)*Assumptions!$L$48</f>
        <v>25000</v>
      </c>
      <c r="Y67" s="51">
        <f>(Assumptions!$K9/12)+(Assumptions!$K9/12)*Assumptions!$L$48</f>
        <v>25000</v>
      </c>
      <c r="Z67" s="51">
        <f>(Assumptions!$K9/12)+(Assumptions!$K9/12)*Assumptions!$L$48</f>
        <v>25000</v>
      </c>
      <c r="AA67" s="51">
        <f>(Assumptions!$K9/12)+(Assumptions!$K9/12)*Assumptions!$L$48</f>
        <v>25000</v>
      </c>
      <c r="AB67" s="51">
        <f>(Assumptions!$K9/12)+(Assumptions!$K9/12)*Assumptions!$L$48</f>
        <v>25000</v>
      </c>
      <c r="AC67" s="51">
        <f>(Assumptions!$K9/12)+(Assumptions!$K9/12)*Assumptions!$L$48</f>
        <v>25000</v>
      </c>
      <c r="AD67" s="51">
        <f>(Assumptions!$K9/12)+(Assumptions!$K9/12)*Assumptions!$L$48</f>
        <v>25000</v>
      </c>
      <c r="AE67" s="51">
        <f>(Assumptions!$K9/12)+(Assumptions!$K9/12)*Assumptions!$L$48</f>
        <v>25000</v>
      </c>
      <c r="AF67" s="51">
        <f>(Assumptions!$K9/12)+(Assumptions!$K9/12)*Assumptions!$M$48</f>
        <v>32000</v>
      </c>
      <c r="AG67" s="51">
        <f>(Assumptions!$K9/12)+(Assumptions!$K9/12)*Assumptions!$M$48</f>
        <v>32000</v>
      </c>
      <c r="AH67" s="51">
        <f>(Assumptions!$K9/12)+(Assumptions!$K9/12)*Assumptions!$M$48</f>
        <v>32000</v>
      </c>
      <c r="AI67" s="51">
        <f>(Assumptions!$K9/12)+(Assumptions!$K9/12)*Assumptions!$M$48</f>
        <v>32000</v>
      </c>
      <c r="AJ67" s="51">
        <f>(Assumptions!$K9/12)+(Assumptions!$K9/12)*Assumptions!$M$48</f>
        <v>32000</v>
      </c>
      <c r="AK67" s="51">
        <f>(Assumptions!$K9/12)+(Assumptions!$K9/12)*Assumptions!$M$48</f>
        <v>32000</v>
      </c>
      <c r="AL67" s="51">
        <f>(Assumptions!$K9/12)+(Assumptions!$K9/12)*Assumptions!$M$48</f>
        <v>32000</v>
      </c>
      <c r="AM67" s="51">
        <f>(Assumptions!$K9/12)+(Assumptions!$K9/12)*Assumptions!$M$48</f>
        <v>32000</v>
      </c>
      <c r="AN67" s="51">
        <f>(Assumptions!$K9/12)+(Assumptions!$K9/12)*Assumptions!$M$48</f>
        <v>32000</v>
      </c>
      <c r="AO67" s="51">
        <f>(Assumptions!$K9/12)+(Assumptions!$K9/12)*Assumptions!$M$48</f>
        <v>32000</v>
      </c>
      <c r="AP67" s="51">
        <f>(Assumptions!$K9/12)+(Assumptions!$K9/12)*Assumptions!$M$48</f>
        <v>32000</v>
      </c>
      <c r="AQ67" s="51">
        <f>(Assumptions!$K9/12)+(Assumptions!$K9/12)*Assumptions!$M$48</f>
        <v>32000</v>
      </c>
      <c r="AR67" s="51">
        <f>(Assumptions!$K9/12)+(Assumptions!$K9/12)*Assumptions!$N$48</f>
        <v>46000</v>
      </c>
      <c r="AS67" s="51">
        <f>(Assumptions!$K9/12)+(Assumptions!$K9/12)*Assumptions!$N$48</f>
        <v>46000</v>
      </c>
      <c r="AT67" s="51">
        <f>(Assumptions!$K9/12)+(Assumptions!$K9/12)*Assumptions!$N$48</f>
        <v>46000</v>
      </c>
      <c r="AU67" s="51">
        <f>(Assumptions!$K9/12)+(Assumptions!$K9/12)*Assumptions!$N$48</f>
        <v>46000</v>
      </c>
      <c r="AV67" s="51">
        <f>(Assumptions!$K9/12)+(Assumptions!$K9/12)*Assumptions!$N$48</f>
        <v>46000</v>
      </c>
      <c r="AW67" s="51">
        <f>(Assumptions!$K9/12)+(Assumptions!$K9/12)*Assumptions!$N$48</f>
        <v>46000</v>
      </c>
      <c r="AX67" s="51">
        <f>(Assumptions!$K9/12)+(Assumptions!$K9/12)*Assumptions!$N$48</f>
        <v>46000</v>
      </c>
      <c r="AY67" s="51">
        <f>(Assumptions!$K9/12)+(Assumptions!$K9/12)*Assumptions!$N$48</f>
        <v>46000</v>
      </c>
      <c r="AZ67" s="51">
        <f>(Assumptions!$K9/12)+(Assumptions!$K9/12)*Assumptions!$N$48</f>
        <v>46000</v>
      </c>
      <c r="BA67" s="51">
        <f>(Assumptions!$K9/12)+(Assumptions!$K9/12)*Assumptions!$N$48</f>
        <v>46000</v>
      </c>
      <c r="BB67" s="51">
        <f>(Assumptions!$K9/12)+(Assumptions!$K9/12)*Assumptions!$N$48</f>
        <v>46000</v>
      </c>
      <c r="BC67" s="51">
        <f>(Assumptions!$K9/12)+(Assumptions!$K9/12)*Assumptions!$N$48</f>
        <v>46000</v>
      </c>
      <c r="BD67" s="51">
        <f>(Assumptions!$K9/12)+(Assumptions!$K9/12)*Assumptions!$O$48</f>
        <v>60000</v>
      </c>
      <c r="BE67" s="51">
        <f>(Assumptions!$K9/12)+(Assumptions!$K9/12)*Assumptions!$O$48</f>
        <v>60000</v>
      </c>
      <c r="BF67" s="51">
        <f>(Assumptions!$K9/12)+(Assumptions!$K9/12)*Assumptions!$O$48</f>
        <v>60000</v>
      </c>
      <c r="BG67" s="51">
        <f>(Assumptions!$K9/12)+(Assumptions!$K9/12)*Assumptions!$O$48</f>
        <v>60000</v>
      </c>
      <c r="BH67" s="51">
        <f>(Assumptions!$K9/12)+(Assumptions!$K9/12)*Assumptions!$O$48</f>
        <v>60000</v>
      </c>
      <c r="BI67" s="51">
        <f>(Assumptions!$K9/12)+(Assumptions!$K9/12)*Assumptions!$O$48</f>
        <v>60000</v>
      </c>
      <c r="BJ67" s="51">
        <f>(Assumptions!$K9/12)+(Assumptions!$K9/12)*Assumptions!$O$48</f>
        <v>60000</v>
      </c>
      <c r="BK67" s="51">
        <f>(Assumptions!$K9/12)+(Assumptions!$K9/12)*Assumptions!$O$48</f>
        <v>60000</v>
      </c>
      <c r="BL67" s="51">
        <f>(Assumptions!$K9/12)+(Assumptions!$K9/12)*Assumptions!$O$48</f>
        <v>60000</v>
      </c>
      <c r="BM67" s="51">
        <f>(Assumptions!$K9/12)+(Assumptions!$K9/12)*Assumptions!$O$48</f>
        <v>60000</v>
      </c>
      <c r="BN67" s="51">
        <f>(Assumptions!$K9/12)+(Assumptions!$K9/12)*Assumptions!$O$48</f>
        <v>60000</v>
      </c>
      <c r="BO67" s="51">
        <f>(Assumptions!$K9/12)+(Assumptions!$K9/12)*Assumptions!$O$48</f>
        <v>60000</v>
      </c>
    </row>
    <row r="68" spans="1:67" x14ac:dyDescent="0.25">
      <c r="A68" s="213" t="str">
        <f>Assumptions!$J$10</f>
        <v>VP Operations</v>
      </c>
      <c r="B68" s="202" t="b">
        <f>(H68*12)=Assumptions!K10</f>
        <v>1</v>
      </c>
      <c r="D68" s="214"/>
      <c r="E68" s="214"/>
      <c r="F68" s="214"/>
      <c r="G68" s="214"/>
      <c r="H68" s="51">
        <f>(Assumptions!$K10/12)+(Assumptions!$K10/12)*Assumptions!$K$48</f>
        <v>12500</v>
      </c>
      <c r="I68" s="51">
        <f>(Assumptions!$K10/12)+(Assumptions!$K10/12)*Assumptions!$K$48</f>
        <v>12500</v>
      </c>
      <c r="J68" s="51">
        <f>(Assumptions!$K10/12)+(Assumptions!$K10/12)*Assumptions!$K$48</f>
        <v>12500</v>
      </c>
      <c r="K68" s="51">
        <f>(Assumptions!$K10/12)+(Assumptions!$K10/12)*Assumptions!$K$48</f>
        <v>12500</v>
      </c>
      <c r="L68" s="51">
        <f>(Assumptions!$K10/12)+(Assumptions!$K10/12)*Assumptions!$K$48</f>
        <v>12500</v>
      </c>
      <c r="M68" s="51">
        <f>(Assumptions!$K10/12)+(Assumptions!$K10/12)*Assumptions!$K$48</f>
        <v>12500</v>
      </c>
      <c r="N68" s="51">
        <f>(Assumptions!$K10/12)+(Assumptions!$K10/12)*Assumptions!$K$48</f>
        <v>12500</v>
      </c>
      <c r="O68" s="51">
        <f>(Assumptions!$K10/12)+(Assumptions!$K10/12)*Assumptions!$K$48</f>
        <v>12500</v>
      </c>
      <c r="P68" s="51">
        <f>(Assumptions!$K10/12)+(Assumptions!$K10/12)*Assumptions!$K$48</f>
        <v>12500</v>
      </c>
      <c r="Q68" s="51">
        <f>(Assumptions!$K10/12)+(Assumptions!$K10/12)*Assumptions!$K$48</f>
        <v>12500</v>
      </c>
      <c r="R68" s="51">
        <f>(Assumptions!$K10/12)+(Assumptions!$K10/12)*Assumptions!$K$48</f>
        <v>12500</v>
      </c>
      <c r="S68" s="51">
        <f>(Assumptions!$K10/12)+(Assumptions!$K10/12)*Assumptions!$K$48</f>
        <v>12500</v>
      </c>
      <c r="T68" s="51">
        <f>(Assumptions!$K10/12)+(Assumptions!$K10/12)*Assumptions!$L$48</f>
        <v>15625</v>
      </c>
      <c r="U68" s="51">
        <f>(Assumptions!$K10/12)+(Assumptions!$K10/12)*Assumptions!$L$48</f>
        <v>15625</v>
      </c>
      <c r="V68" s="51">
        <f>(Assumptions!$K10/12)+(Assumptions!$K10/12)*Assumptions!$L$48</f>
        <v>15625</v>
      </c>
      <c r="W68" s="51">
        <f>(Assumptions!$K10/12)+(Assumptions!$K10/12)*Assumptions!$L$48</f>
        <v>15625</v>
      </c>
      <c r="X68" s="51">
        <f>(Assumptions!$K10/12)+(Assumptions!$K10/12)*Assumptions!$L$48</f>
        <v>15625</v>
      </c>
      <c r="Y68" s="51">
        <f>(Assumptions!$K10/12)+(Assumptions!$K10/12)*Assumptions!$L$48</f>
        <v>15625</v>
      </c>
      <c r="Z68" s="51">
        <f>(Assumptions!$K10/12)+(Assumptions!$K10/12)*Assumptions!$L$48</f>
        <v>15625</v>
      </c>
      <c r="AA68" s="51">
        <f>(Assumptions!$K10/12)+(Assumptions!$K10/12)*Assumptions!$L$48</f>
        <v>15625</v>
      </c>
      <c r="AB68" s="51">
        <f>(Assumptions!$K10/12)+(Assumptions!$K10/12)*Assumptions!$L$48</f>
        <v>15625</v>
      </c>
      <c r="AC68" s="51">
        <f>(Assumptions!$K10/12)+(Assumptions!$K10/12)*Assumptions!$L$48</f>
        <v>15625</v>
      </c>
      <c r="AD68" s="51">
        <f>(Assumptions!$K10/12)+(Assumptions!$K10/12)*Assumptions!$L$48</f>
        <v>15625</v>
      </c>
      <c r="AE68" s="51">
        <f>(Assumptions!$K10/12)+(Assumptions!$K10/12)*Assumptions!$L$48</f>
        <v>15625</v>
      </c>
      <c r="AF68" s="51">
        <f>(Assumptions!$K10/12)+(Assumptions!$K10/12)*Assumptions!$M$48</f>
        <v>20000</v>
      </c>
      <c r="AG68" s="51">
        <f>(Assumptions!$K10/12)+(Assumptions!$K10/12)*Assumptions!$M$48</f>
        <v>20000</v>
      </c>
      <c r="AH68" s="51">
        <f>(Assumptions!$K10/12)+(Assumptions!$K10/12)*Assumptions!$M$48</f>
        <v>20000</v>
      </c>
      <c r="AI68" s="51">
        <f>(Assumptions!$K10/12)+(Assumptions!$K10/12)*Assumptions!$M$48</f>
        <v>20000</v>
      </c>
      <c r="AJ68" s="51">
        <f>(Assumptions!$K10/12)+(Assumptions!$K10/12)*Assumptions!$M$48</f>
        <v>20000</v>
      </c>
      <c r="AK68" s="51">
        <f>(Assumptions!$K10/12)+(Assumptions!$K10/12)*Assumptions!$M$48</f>
        <v>20000</v>
      </c>
      <c r="AL68" s="51">
        <f>(Assumptions!$K10/12)+(Assumptions!$K10/12)*Assumptions!$M$48</f>
        <v>20000</v>
      </c>
      <c r="AM68" s="51">
        <f>(Assumptions!$K10/12)+(Assumptions!$K10/12)*Assumptions!$M$48</f>
        <v>20000</v>
      </c>
      <c r="AN68" s="51">
        <f>(Assumptions!$K10/12)+(Assumptions!$K10/12)*Assumptions!$M$48</f>
        <v>20000</v>
      </c>
      <c r="AO68" s="51">
        <f>(Assumptions!$K10/12)+(Assumptions!$K10/12)*Assumptions!$M$48</f>
        <v>20000</v>
      </c>
      <c r="AP68" s="51">
        <f>(Assumptions!$K10/12)+(Assumptions!$K10/12)*Assumptions!$M$48</f>
        <v>20000</v>
      </c>
      <c r="AQ68" s="51">
        <f>(Assumptions!$K10/12)+(Assumptions!$K10/12)*Assumptions!$M$48</f>
        <v>20000</v>
      </c>
      <c r="AR68" s="51">
        <f>(Assumptions!$K10/12)+(Assumptions!$K10/12)*Assumptions!$N$48</f>
        <v>28750</v>
      </c>
      <c r="AS68" s="51">
        <f>(Assumptions!$K10/12)+(Assumptions!$K10/12)*Assumptions!$N$48</f>
        <v>28750</v>
      </c>
      <c r="AT68" s="51">
        <f>(Assumptions!$K10/12)+(Assumptions!$K10/12)*Assumptions!$N$48</f>
        <v>28750</v>
      </c>
      <c r="AU68" s="51">
        <f>(Assumptions!$K10/12)+(Assumptions!$K10/12)*Assumptions!$N$48</f>
        <v>28750</v>
      </c>
      <c r="AV68" s="51">
        <f>(Assumptions!$K10/12)+(Assumptions!$K10/12)*Assumptions!$N$48</f>
        <v>28750</v>
      </c>
      <c r="AW68" s="51">
        <f>(Assumptions!$K10/12)+(Assumptions!$K10/12)*Assumptions!$N$48</f>
        <v>28750</v>
      </c>
      <c r="AX68" s="51">
        <f>(Assumptions!$K10/12)+(Assumptions!$K10/12)*Assumptions!$N$48</f>
        <v>28750</v>
      </c>
      <c r="AY68" s="51">
        <f>(Assumptions!$K10/12)+(Assumptions!$K10/12)*Assumptions!$N$48</f>
        <v>28750</v>
      </c>
      <c r="AZ68" s="51">
        <f>(Assumptions!$K10/12)+(Assumptions!$K10/12)*Assumptions!$N$48</f>
        <v>28750</v>
      </c>
      <c r="BA68" s="51">
        <f>(Assumptions!$K10/12)+(Assumptions!$K10/12)*Assumptions!$N$48</f>
        <v>28750</v>
      </c>
      <c r="BB68" s="51">
        <f>(Assumptions!$K10/12)+(Assumptions!$K10/12)*Assumptions!$N$48</f>
        <v>28750</v>
      </c>
      <c r="BC68" s="51">
        <f>(Assumptions!$K10/12)+(Assumptions!$K10/12)*Assumptions!$N$48</f>
        <v>28750</v>
      </c>
      <c r="BD68" s="51">
        <f>(Assumptions!$K10/12)+(Assumptions!$K10/12)*Assumptions!$O$48</f>
        <v>37500</v>
      </c>
      <c r="BE68" s="51">
        <f>(Assumptions!$K10/12)+(Assumptions!$K10/12)*Assumptions!$O$48</f>
        <v>37500</v>
      </c>
      <c r="BF68" s="51">
        <f>(Assumptions!$K10/12)+(Assumptions!$K10/12)*Assumptions!$O$48</f>
        <v>37500</v>
      </c>
      <c r="BG68" s="51">
        <f>(Assumptions!$K10/12)+(Assumptions!$K10/12)*Assumptions!$O$48</f>
        <v>37500</v>
      </c>
      <c r="BH68" s="51">
        <f>(Assumptions!$K10/12)+(Assumptions!$K10/12)*Assumptions!$O$48</f>
        <v>37500</v>
      </c>
      <c r="BI68" s="51">
        <f>(Assumptions!$K10/12)+(Assumptions!$K10/12)*Assumptions!$O$48</f>
        <v>37500</v>
      </c>
      <c r="BJ68" s="51">
        <f>(Assumptions!$K10/12)+(Assumptions!$K10/12)*Assumptions!$O$48</f>
        <v>37500</v>
      </c>
      <c r="BK68" s="51">
        <f>(Assumptions!$K10/12)+(Assumptions!$K10/12)*Assumptions!$O$48</f>
        <v>37500</v>
      </c>
      <c r="BL68" s="51">
        <f>(Assumptions!$K10/12)+(Assumptions!$K10/12)*Assumptions!$O$48</f>
        <v>37500</v>
      </c>
      <c r="BM68" s="51">
        <f>(Assumptions!$K10/12)+(Assumptions!$K10/12)*Assumptions!$O$48</f>
        <v>37500</v>
      </c>
      <c r="BN68" s="51">
        <f>(Assumptions!$K10/12)+(Assumptions!$K10/12)*Assumptions!$O$48</f>
        <v>37500</v>
      </c>
      <c r="BO68" s="51">
        <f>(Assumptions!$K10/12)+(Assumptions!$K10/12)*Assumptions!$O$48</f>
        <v>37500</v>
      </c>
    </row>
    <row r="69" spans="1:67" x14ac:dyDescent="0.25">
      <c r="A69" s="220" t="str">
        <f>Assumptions!$J$11</f>
        <v>Infrastructure and Database</v>
      </c>
      <c r="B69" s="202" t="b">
        <f>(H69*12)=Assumptions!K11</f>
        <v>1</v>
      </c>
      <c r="D69" s="214"/>
      <c r="E69" s="214"/>
      <c r="F69" s="214"/>
      <c r="G69" s="214"/>
      <c r="H69" s="221">
        <f>(Assumptions!$K11/12)+(Assumptions!$K11/12)*Assumptions!$K$45</f>
        <v>10000</v>
      </c>
      <c r="I69" s="221">
        <f>(Assumptions!$K11/12)+(Assumptions!$K11/12)*Assumptions!$K$45</f>
        <v>10000</v>
      </c>
      <c r="J69" s="221">
        <f>(Assumptions!$K11/12)+(Assumptions!$K11/12)*Assumptions!$K$45</f>
        <v>10000</v>
      </c>
      <c r="K69" s="221">
        <f>(Assumptions!$K11/12)+(Assumptions!$K11/12)*Assumptions!$K$45</f>
        <v>10000</v>
      </c>
      <c r="L69" s="221">
        <f>(Assumptions!$K11/12)+(Assumptions!$K11/12)*Assumptions!$K$45</f>
        <v>10000</v>
      </c>
      <c r="M69" s="221">
        <f>(Assumptions!$K11/12)+(Assumptions!$K11/12)*Assumptions!$K$45</f>
        <v>10000</v>
      </c>
      <c r="N69" s="221">
        <f>(Assumptions!$K11/12)+(Assumptions!$K11/12)*Assumptions!$K$45</f>
        <v>10000</v>
      </c>
      <c r="O69" s="221">
        <f>(Assumptions!$K11/12)+(Assumptions!$K11/12)*Assumptions!$K$45</f>
        <v>10000</v>
      </c>
      <c r="P69" s="221">
        <f>(Assumptions!$K11/12)+(Assumptions!$K11/12)*Assumptions!$K$45</f>
        <v>10000</v>
      </c>
      <c r="Q69" s="221">
        <f>(Assumptions!$K11/12)+(Assumptions!$K11/12)*Assumptions!$K$45</f>
        <v>10000</v>
      </c>
      <c r="R69" s="221">
        <f>(Assumptions!$K11/12)+(Assumptions!$K11/12)*Assumptions!$K$45</f>
        <v>10000</v>
      </c>
      <c r="S69" s="221">
        <f>(Assumptions!$K11/12)+(Assumptions!$K11/12)*Assumptions!$K$45</f>
        <v>10000</v>
      </c>
      <c r="T69" s="221">
        <f>(Assumptions!$K11/12)+(Assumptions!$K11/12)*Assumptions!$L$45</f>
        <v>50000</v>
      </c>
      <c r="U69" s="221">
        <f>(Assumptions!$K11/12)+(Assumptions!$K11/12)*Assumptions!$L$45</f>
        <v>50000</v>
      </c>
      <c r="V69" s="221">
        <f>(Assumptions!$K11/12)+(Assumptions!$K11/12)*Assumptions!$L$45</f>
        <v>50000</v>
      </c>
      <c r="W69" s="221">
        <f>(Assumptions!$K11/12)+(Assumptions!$K11/12)*Assumptions!$L$45</f>
        <v>50000</v>
      </c>
      <c r="X69" s="221">
        <f>(Assumptions!$K11/12)+(Assumptions!$K11/12)*Assumptions!$L$45</f>
        <v>50000</v>
      </c>
      <c r="Y69" s="221">
        <f>(Assumptions!$K11/12)+(Assumptions!$K11/12)*Assumptions!$L$45</f>
        <v>50000</v>
      </c>
      <c r="Z69" s="221">
        <f>(Assumptions!$K11/12)+(Assumptions!$K11/12)*Assumptions!$L$45</f>
        <v>50000</v>
      </c>
      <c r="AA69" s="221">
        <f>(Assumptions!$K11/12)+(Assumptions!$K11/12)*Assumptions!$L$45</f>
        <v>50000</v>
      </c>
      <c r="AB69" s="221">
        <f>(Assumptions!$K11/12)+(Assumptions!$K11/12)*Assumptions!$L$45</f>
        <v>50000</v>
      </c>
      <c r="AC69" s="221">
        <f>(Assumptions!$K11/12)+(Assumptions!$K11/12)*Assumptions!$L$45</f>
        <v>50000</v>
      </c>
      <c r="AD69" s="221">
        <f>(Assumptions!$K11/12)+(Assumptions!$K11/12)*Assumptions!$L$45</f>
        <v>50000</v>
      </c>
      <c r="AE69" s="221">
        <f>(Assumptions!$K11/12)+(Assumptions!$K11/12)*Assumptions!$L$45</f>
        <v>50000</v>
      </c>
      <c r="AF69" s="221">
        <f>(Assumptions!$K11/12)+(Assumptions!$K11/12)*Assumptions!$M$45</f>
        <v>100000</v>
      </c>
      <c r="AG69" s="221">
        <f>(Assumptions!$K11/12)+(Assumptions!$K11/12)*Assumptions!$M$45</f>
        <v>100000</v>
      </c>
      <c r="AH69" s="221">
        <f>(Assumptions!$K11/12)+(Assumptions!$K11/12)*Assumptions!$M$45</f>
        <v>100000</v>
      </c>
      <c r="AI69" s="221">
        <f>(Assumptions!$K11/12)+(Assumptions!$K11/12)*Assumptions!$M$45</f>
        <v>100000</v>
      </c>
      <c r="AJ69" s="221">
        <f>(Assumptions!$K11/12)+(Assumptions!$K11/12)*Assumptions!$M$45</f>
        <v>100000</v>
      </c>
      <c r="AK69" s="221">
        <f>(Assumptions!$K11/12)+(Assumptions!$K11/12)*Assumptions!$M$45</f>
        <v>100000</v>
      </c>
      <c r="AL69" s="221">
        <f>(Assumptions!$K11/12)+(Assumptions!$K11/12)*Assumptions!$M$45</f>
        <v>100000</v>
      </c>
      <c r="AM69" s="221">
        <f>(Assumptions!$K11/12)+(Assumptions!$K11/12)*Assumptions!$M$45</f>
        <v>100000</v>
      </c>
      <c r="AN69" s="221">
        <f>(Assumptions!$K11/12)+(Assumptions!$K11/12)*Assumptions!$M$45</f>
        <v>100000</v>
      </c>
      <c r="AO69" s="221">
        <f>(Assumptions!$K11/12)+(Assumptions!$K11/12)*Assumptions!$M$45</f>
        <v>100000</v>
      </c>
      <c r="AP69" s="221">
        <f>(Assumptions!$K11/12)+(Assumptions!$K11/12)*Assumptions!$M$45</f>
        <v>100000</v>
      </c>
      <c r="AQ69" s="221">
        <f>(Assumptions!$K11/12)+(Assumptions!$K11/12)*Assumptions!$M$45</f>
        <v>100000</v>
      </c>
      <c r="AR69" s="221">
        <f>(Assumptions!$K11/12)+(Assumptions!$K11/12)*Assumptions!$N$45</f>
        <v>160000</v>
      </c>
      <c r="AS69" s="221">
        <f>(Assumptions!$K11/12)+(Assumptions!$K11/12)*Assumptions!$N$45</f>
        <v>160000</v>
      </c>
      <c r="AT69" s="221">
        <f>(Assumptions!$K11/12)+(Assumptions!$K11/12)*Assumptions!$N$45</f>
        <v>160000</v>
      </c>
      <c r="AU69" s="221">
        <f>(Assumptions!$K11/12)+(Assumptions!$K11/12)*Assumptions!$N$45</f>
        <v>160000</v>
      </c>
      <c r="AV69" s="221">
        <f>(Assumptions!$K11/12)+(Assumptions!$K11/12)*Assumptions!$N$45</f>
        <v>160000</v>
      </c>
      <c r="AW69" s="221">
        <f>(Assumptions!$K11/12)+(Assumptions!$K11/12)*Assumptions!$N$45</f>
        <v>160000</v>
      </c>
      <c r="AX69" s="221">
        <f>(Assumptions!$K11/12)+(Assumptions!$K11/12)*Assumptions!$N$45</f>
        <v>160000</v>
      </c>
      <c r="AY69" s="221">
        <f>(Assumptions!$K11/12)+(Assumptions!$K11/12)*Assumptions!$N$45</f>
        <v>160000</v>
      </c>
      <c r="AZ69" s="221">
        <f>(Assumptions!$K11/12)+(Assumptions!$K11/12)*Assumptions!$N$45</f>
        <v>160000</v>
      </c>
      <c r="BA69" s="221">
        <f>(Assumptions!$K11/12)+(Assumptions!$K11/12)*Assumptions!$N$45</f>
        <v>160000</v>
      </c>
      <c r="BB69" s="221">
        <f>(Assumptions!$K11/12)+(Assumptions!$K11/12)*Assumptions!$N$45</f>
        <v>160000</v>
      </c>
      <c r="BC69" s="221">
        <f>(Assumptions!$K11/12)+(Assumptions!$K11/12)*Assumptions!$N$45</f>
        <v>160000</v>
      </c>
      <c r="BD69" s="221">
        <f>(Assumptions!$K11/12)+(Assumptions!$K11/12)*Assumptions!$O$45</f>
        <v>230000</v>
      </c>
      <c r="BE69" s="221">
        <f>(Assumptions!$K11/12)+(Assumptions!$K11/12)*Assumptions!$O$45</f>
        <v>230000</v>
      </c>
      <c r="BF69" s="221">
        <f>(Assumptions!$K11/12)+(Assumptions!$K11/12)*Assumptions!$O$45</f>
        <v>230000</v>
      </c>
      <c r="BG69" s="221">
        <f>(Assumptions!$K11/12)+(Assumptions!$K11/12)*Assumptions!$O$45</f>
        <v>230000</v>
      </c>
      <c r="BH69" s="221">
        <f>(Assumptions!$K11/12)+(Assumptions!$K11/12)*Assumptions!$O$45</f>
        <v>230000</v>
      </c>
      <c r="BI69" s="221">
        <f>(Assumptions!$K11/12)+(Assumptions!$K11/12)*Assumptions!$O$45</f>
        <v>230000</v>
      </c>
      <c r="BJ69" s="221">
        <f>(Assumptions!$K11/12)+(Assumptions!$K11/12)*Assumptions!$O$45</f>
        <v>230000</v>
      </c>
      <c r="BK69" s="221">
        <f>(Assumptions!$K11/12)+(Assumptions!$K11/12)*Assumptions!$O$45</f>
        <v>230000</v>
      </c>
      <c r="BL69" s="221">
        <f>(Assumptions!$K11/12)+(Assumptions!$K11/12)*Assumptions!$O$45</f>
        <v>230000</v>
      </c>
      <c r="BM69" s="221">
        <f>(Assumptions!$K11/12)+(Assumptions!$K11/12)*Assumptions!$O$45</f>
        <v>230000</v>
      </c>
      <c r="BN69" s="221">
        <f>(Assumptions!$K11/12)+(Assumptions!$K11/12)*Assumptions!$O$45</f>
        <v>230000</v>
      </c>
      <c r="BO69" s="221">
        <f>(Assumptions!$K11/12)+(Assumptions!$K11/12)*Assumptions!$O$45</f>
        <v>230000</v>
      </c>
    </row>
    <row r="70" spans="1:67" x14ac:dyDescent="0.25">
      <c r="A70" s="213" t="str">
        <f>Assumptions!$J$12</f>
        <v>General Administration</v>
      </c>
      <c r="B70" s="202" t="b">
        <f>(H70*12)=Assumptions!K12</f>
        <v>1</v>
      </c>
      <c r="D70" s="214"/>
      <c r="E70" s="214"/>
      <c r="F70" s="214"/>
      <c r="G70" s="214"/>
      <c r="H70" s="51">
        <f>(Assumptions!$K12/12)+(Assumptions!$K12/12)*Assumptions!$K$48</f>
        <v>5000</v>
      </c>
      <c r="I70" s="51">
        <f>(Assumptions!$K12/12)+(Assumptions!$K12/12)*Assumptions!$K$48</f>
        <v>5000</v>
      </c>
      <c r="J70" s="51">
        <f>(Assumptions!$K12/12)+(Assumptions!$K12/12)*Assumptions!$K$48</f>
        <v>5000</v>
      </c>
      <c r="K70" s="51">
        <f>(Assumptions!$K12/12)+(Assumptions!$K12/12)*Assumptions!$K$48</f>
        <v>5000</v>
      </c>
      <c r="L70" s="51">
        <f>(Assumptions!$K12/12)+(Assumptions!$K12/12)*Assumptions!$K$48</f>
        <v>5000</v>
      </c>
      <c r="M70" s="51">
        <f>(Assumptions!$K12/12)+(Assumptions!$K12/12)*Assumptions!$K$48</f>
        <v>5000</v>
      </c>
      <c r="N70" s="51">
        <f>(Assumptions!$K12/12)+(Assumptions!$K12/12)*Assumptions!$K$48</f>
        <v>5000</v>
      </c>
      <c r="O70" s="51">
        <f>(Assumptions!$K12/12)+(Assumptions!$K12/12)*Assumptions!$K$48</f>
        <v>5000</v>
      </c>
      <c r="P70" s="51">
        <f>(Assumptions!$K12/12)+(Assumptions!$K12/12)*Assumptions!$K$48</f>
        <v>5000</v>
      </c>
      <c r="Q70" s="51">
        <f>(Assumptions!$K12/12)+(Assumptions!$K12/12)*Assumptions!$K$48</f>
        <v>5000</v>
      </c>
      <c r="R70" s="51">
        <f>(Assumptions!$K12/12)+(Assumptions!$K12/12)*Assumptions!$K$48</f>
        <v>5000</v>
      </c>
      <c r="S70" s="51">
        <f>(Assumptions!$K12/12)+(Assumptions!$K12/12)*Assumptions!$K$48</f>
        <v>5000</v>
      </c>
      <c r="T70" s="51">
        <f>(Assumptions!$K12/12)+(Assumptions!$K12/12)*Assumptions!$L$48</f>
        <v>6250</v>
      </c>
      <c r="U70" s="51">
        <f>(Assumptions!$K12/12)+(Assumptions!$K12/12)*Assumptions!$L$48</f>
        <v>6250</v>
      </c>
      <c r="V70" s="51">
        <f>(Assumptions!$K12/12)+(Assumptions!$K12/12)*Assumptions!$L$48</f>
        <v>6250</v>
      </c>
      <c r="W70" s="51">
        <f>(Assumptions!$K12/12)+(Assumptions!$K12/12)*Assumptions!$L$48</f>
        <v>6250</v>
      </c>
      <c r="X70" s="51">
        <f>(Assumptions!$K12/12)+(Assumptions!$K12/12)*Assumptions!$L$48</f>
        <v>6250</v>
      </c>
      <c r="Y70" s="51">
        <f>(Assumptions!$K12/12)+(Assumptions!$K12/12)*Assumptions!$L$48</f>
        <v>6250</v>
      </c>
      <c r="Z70" s="51">
        <f>(Assumptions!$K12/12)+(Assumptions!$K12/12)*Assumptions!$L$48</f>
        <v>6250</v>
      </c>
      <c r="AA70" s="51">
        <f>(Assumptions!$K12/12)+(Assumptions!$K12/12)*Assumptions!$L$48</f>
        <v>6250</v>
      </c>
      <c r="AB70" s="51">
        <f>(Assumptions!$K12/12)+(Assumptions!$K12/12)*Assumptions!$L$48</f>
        <v>6250</v>
      </c>
      <c r="AC70" s="51">
        <f>(Assumptions!$K12/12)+(Assumptions!$K12/12)*Assumptions!$L$48</f>
        <v>6250</v>
      </c>
      <c r="AD70" s="51">
        <f>(Assumptions!$K12/12)+(Assumptions!$K12/12)*Assumptions!$L$48</f>
        <v>6250</v>
      </c>
      <c r="AE70" s="51">
        <f>(Assumptions!$K12/12)+(Assumptions!$K12/12)*Assumptions!$L$48</f>
        <v>6250</v>
      </c>
      <c r="AF70" s="51">
        <f>(Assumptions!$K12/12)+(Assumptions!$K12/12)*Assumptions!$M$48</f>
        <v>8000</v>
      </c>
      <c r="AG70" s="51">
        <f>(Assumptions!$K12/12)+(Assumptions!$K12/12)*Assumptions!$M$48</f>
        <v>8000</v>
      </c>
      <c r="AH70" s="51">
        <f>(Assumptions!$K12/12)+(Assumptions!$K12/12)*Assumptions!$M$48</f>
        <v>8000</v>
      </c>
      <c r="AI70" s="51">
        <f>(Assumptions!$K12/12)+(Assumptions!$K12/12)*Assumptions!$M$48</f>
        <v>8000</v>
      </c>
      <c r="AJ70" s="51">
        <f>(Assumptions!$K12/12)+(Assumptions!$K12/12)*Assumptions!$M$48</f>
        <v>8000</v>
      </c>
      <c r="AK70" s="51">
        <f>(Assumptions!$K12/12)+(Assumptions!$K12/12)*Assumptions!$M$48</f>
        <v>8000</v>
      </c>
      <c r="AL70" s="51">
        <f>(Assumptions!$K12/12)+(Assumptions!$K12/12)*Assumptions!$M$48</f>
        <v>8000</v>
      </c>
      <c r="AM70" s="51">
        <f>(Assumptions!$K12/12)+(Assumptions!$K12/12)*Assumptions!$M$48</f>
        <v>8000</v>
      </c>
      <c r="AN70" s="51">
        <f>(Assumptions!$K12/12)+(Assumptions!$K12/12)*Assumptions!$M$48</f>
        <v>8000</v>
      </c>
      <c r="AO70" s="51">
        <f>(Assumptions!$K12/12)+(Assumptions!$K12/12)*Assumptions!$M$48</f>
        <v>8000</v>
      </c>
      <c r="AP70" s="51">
        <f>(Assumptions!$K12/12)+(Assumptions!$K12/12)*Assumptions!$M$48</f>
        <v>8000</v>
      </c>
      <c r="AQ70" s="51">
        <f>(Assumptions!$K12/12)+(Assumptions!$K12/12)*Assumptions!$M$48</f>
        <v>8000</v>
      </c>
      <c r="AR70" s="51">
        <f>(Assumptions!$K12/12)+(Assumptions!$K12/12)*Assumptions!$N$48</f>
        <v>11500</v>
      </c>
      <c r="AS70" s="51">
        <f>(Assumptions!$K12/12)+(Assumptions!$K12/12)*Assumptions!$N$48</f>
        <v>11500</v>
      </c>
      <c r="AT70" s="51">
        <f>(Assumptions!$K12/12)+(Assumptions!$K12/12)*Assumptions!$N$48</f>
        <v>11500</v>
      </c>
      <c r="AU70" s="51">
        <f>(Assumptions!$K12/12)+(Assumptions!$K12/12)*Assumptions!$N$48</f>
        <v>11500</v>
      </c>
      <c r="AV70" s="51">
        <f>(Assumptions!$K12/12)+(Assumptions!$K12/12)*Assumptions!$N$48</f>
        <v>11500</v>
      </c>
      <c r="AW70" s="51">
        <f>(Assumptions!$K12/12)+(Assumptions!$K12/12)*Assumptions!$N$48</f>
        <v>11500</v>
      </c>
      <c r="AX70" s="51">
        <f>(Assumptions!$K12/12)+(Assumptions!$K12/12)*Assumptions!$N$48</f>
        <v>11500</v>
      </c>
      <c r="AY70" s="51">
        <f>(Assumptions!$K12/12)+(Assumptions!$K12/12)*Assumptions!$N$48</f>
        <v>11500</v>
      </c>
      <c r="AZ70" s="51">
        <f>(Assumptions!$K12/12)+(Assumptions!$K12/12)*Assumptions!$N$48</f>
        <v>11500</v>
      </c>
      <c r="BA70" s="51">
        <f>(Assumptions!$K12/12)+(Assumptions!$K12/12)*Assumptions!$N$48</f>
        <v>11500</v>
      </c>
      <c r="BB70" s="51">
        <f>(Assumptions!$K12/12)+(Assumptions!$K12/12)*Assumptions!$N$48</f>
        <v>11500</v>
      </c>
      <c r="BC70" s="51">
        <f>(Assumptions!$K12/12)+(Assumptions!$K12/12)*Assumptions!$N$48</f>
        <v>11500</v>
      </c>
      <c r="BD70" s="51">
        <f>(Assumptions!$K12/12)+(Assumptions!$K12/12)*Assumptions!$O$48</f>
        <v>15000</v>
      </c>
      <c r="BE70" s="51">
        <f>(Assumptions!$K12/12)+(Assumptions!$K12/12)*Assumptions!$O$48</f>
        <v>15000</v>
      </c>
      <c r="BF70" s="51">
        <f>(Assumptions!$K12/12)+(Assumptions!$K12/12)*Assumptions!$O$48</f>
        <v>15000</v>
      </c>
      <c r="BG70" s="51">
        <f>(Assumptions!$K12/12)+(Assumptions!$K12/12)*Assumptions!$O$48</f>
        <v>15000</v>
      </c>
      <c r="BH70" s="51">
        <f>(Assumptions!$K12/12)+(Assumptions!$K12/12)*Assumptions!$O$48</f>
        <v>15000</v>
      </c>
      <c r="BI70" s="51">
        <f>(Assumptions!$K12/12)+(Assumptions!$K12/12)*Assumptions!$O$48</f>
        <v>15000</v>
      </c>
      <c r="BJ70" s="51">
        <f>(Assumptions!$K12/12)+(Assumptions!$K12/12)*Assumptions!$O$48</f>
        <v>15000</v>
      </c>
      <c r="BK70" s="51">
        <f>(Assumptions!$K12/12)+(Assumptions!$K12/12)*Assumptions!$O$48</f>
        <v>15000</v>
      </c>
      <c r="BL70" s="51">
        <f>(Assumptions!$K12/12)+(Assumptions!$K12/12)*Assumptions!$O$48</f>
        <v>15000</v>
      </c>
      <c r="BM70" s="51">
        <f>(Assumptions!$K12/12)+(Assumptions!$K12/12)*Assumptions!$O$48</f>
        <v>15000</v>
      </c>
      <c r="BN70" s="51">
        <f>(Assumptions!$K12/12)+(Assumptions!$K12/12)*Assumptions!$O$48</f>
        <v>15000</v>
      </c>
      <c r="BO70" s="51">
        <f>(Assumptions!$K12/12)+(Assumptions!$K12/12)*Assumptions!$O$48</f>
        <v>15000</v>
      </c>
    </row>
    <row r="71" spans="1:67" x14ac:dyDescent="0.25">
      <c r="A71" s="220" t="str">
        <f>Assumptions!$J$13</f>
        <v>Customer Support</v>
      </c>
      <c r="B71" s="202" t="b">
        <f>(H71*12)=Assumptions!K13</f>
        <v>1</v>
      </c>
      <c r="D71" s="214"/>
      <c r="E71" s="214"/>
      <c r="F71" s="214"/>
      <c r="G71" s="214"/>
      <c r="H71" s="221">
        <f>(Assumptions!$K13/12)+(Assumptions!$K13/12)*Assumptions!$K$45</f>
        <v>5000</v>
      </c>
      <c r="I71" s="221">
        <f>(Assumptions!$K13/12)+(Assumptions!$K13/12)*Assumptions!$K$45</f>
        <v>5000</v>
      </c>
      <c r="J71" s="221">
        <f>(Assumptions!$K13/12)+(Assumptions!$K13/12)*Assumptions!$K$45</f>
        <v>5000</v>
      </c>
      <c r="K71" s="221">
        <f>(Assumptions!$K13/12)+(Assumptions!$K13/12)*Assumptions!$K$45</f>
        <v>5000</v>
      </c>
      <c r="L71" s="221">
        <f>(Assumptions!$K13/12)+(Assumptions!$K13/12)*Assumptions!$K$45</f>
        <v>5000</v>
      </c>
      <c r="M71" s="221">
        <f>(Assumptions!$K13/12)+(Assumptions!$K13/12)*Assumptions!$K$45</f>
        <v>5000</v>
      </c>
      <c r="N71" s="221">
        <f>(Assumptions!$K13/12)+(Assumptions!$K13/12)*Assumptions!$K$45</f>
        <v>5000</v>
      </c>
      <c r="O71" s="221">
        <f>(Assumptions!$K13/12)+(Assumptions!$K13/12)*Assumptions!$K$45</f>
        <v>5000</v>
      </c>
      <c r="P71" s="221">
        <f>(Assumptions!$K13/12)+(Assumptions!$K13/12)*Assumptions!$K$45</f>
        <v>5000</v>
      </c>
      <c r="Q71" s="221">
        <f>(Assumptions!$K13/12)+(Assumptions!$K13/12)*Assumptions!$K$45</f>
        <v>5000</v>
      </c>
      <c r="R71" s="221">
        <f>(Assumptions!$K13/12)+(Assumptions!$K13/12)*Assumptions!$K$45</f>
        <v>5000</v>
      </c>
      <c r="S71" s="221">
        <f>(Assumptions!$K13/12)+(Assumptions!$K13/12)*Assumptions!$K$45</f>
        <v>5000</v>
      </c>
      <c r="T71" s="221">
        <f>(Assumptions!$K13/12)+(Assumptions!$K13/12)*Assumptions!$L$45</f>
        <v>25000</v>
      </c>
      <c r="U71" s="221">
        <f>(Assumptions!$K13/12)+(Assumptions!$K13/12)*Assumptions!$L$45</f>
        <v>25000</v>
      </c>
      <c r="V71" s="221">
        <f>(Assumptions!$K13/12)+(Assumptions!$K13/12)*Assumptions!$L$45</f>
        <v>25000</v>
      </c>
      <c r="W71" s="221">
        <f>(Assumptions!$K13/12)+(Assumptions!$K13/12)*Assumptions!$L$45</f>
        <v>25000</v>
      </c>
      <c r="X71" s="221">
        <f>(Assumptions!$K13/12)+(Assumptions!$K13/12)*Assumptions!$L$45</f>
        <v>25000</v>
      </c>
      <c r="Y71" s="221">
        <f>(Assumptions!$K13/12)+(Assumptions!$K13/12)*Assumptions!$L$45</f>
        <v>25000</v>
      </c>
      <c r="Z71" s="221">
        <f>(Assumptions!$K13/12)+(Assumptions!$K13/12)*Assumptions!$L$45</f>
        <v>25000</v>
      </c>
      <c r="AA71" s="221">
        <f>(Assumptions!$K13/12)+(Assumptions!$K13/12)*Assumptions!$L$45</f>
        <v>25000</v>
      </c>
      <c r="AB71" s="221">
        <f>(Assumptions!$K13/12)+(Assumptions!$K13/12)*Assumptions!$L$45</f>
        <v>25000</v>
      </c>
      <c r="AC71" s="221">
        <f>(Assumptions!$K13/12)+(Assumptions!$K13/12)*Assumptions!$L$45</f>
        <v>25000</v>
      </c>
      <c r="AD71" s="221">
        <f>(Assumptions!$K13/12)+(Assumptions!$K13/12)*Assumptions!$L$45</f>
        <v>25000</v>
      </c>
      <c r="AE71" s="221">
        <f>(Assumptions!$K13/12)+(Assumptions!$K13/12)*Assumptions!$L$45</f>
        <v>25000</v>
      </c>
      <c r="AF71" s="221">
        <f>(Assumptions!$K13/12)+(Assumptions!$K13/12)*Assumptions!$M$45</f>
        <v>50000</v>
      </c>
      <c r="AG71" s="221">
        <f>(Assumptions!$K13/12)+(Assumptions!$K13/12)*Assumptions!$M$45</f>
        <v>50000</v>
      </c>
      <c r="AH71" s="221">
        <f>(Assumptions!$K13/12)+(Assumptions!$K13/12)*Assumptions!$M$45</f>
        <v>50000</v>
      </c>
      <c r="AI71" s="221">
        <f>(Assumptions!$K13/12)+(Assumptions!$K13/12)*Assumptions!$M$45</f>
        <v>50000</v>
      </c>
      <c r="AJ71" s="221">
        <f>(Assumptions!$K13/12)+(Assumptions!$K13/12)*Assumptions!$M$45</f>
        <v>50000</v>
      </c>
      <c r="AK71" s="221">
        <f>(Assumptions!$K13/12)+(Assumptions!$K13/12)*Assumptions!$M$45</f>
        <v>50000</v>
      </c>
      <c r="AL71" s="221">
        <f>(Assumptions!$K13/12)+(Assumptions!$K13/12)*Assumptions!$M$45</f>
        <v>50000</v>
      </c>
      <c r="AM71" s="221">
        <f>(Assumptions!$K13/12)+(Assumptions!$K13/12)*Assumptions!$M$45</f>
        <v>50000</v>
      </c>
      <c r="AN71" s="221">
        <f>(Assumptions!$K13/12)+(Assumptions!$K13/12)*Assumptions!$M$45</f>
        <v>50000</v>
      </c>
      <c r="AO71" s="221">
        <f>(Assumptions!$K13/12)+(Assumptions!$K13/12)*Assumptions!$M$45</f>
        <v>50000</v>
      </c>
      <c r="AP71" s="221">
        <f>(Assumptions!$K13/12)+(Assumptions!$K13/12)*Assumptions!$M$45</f>
        <v>50000</v>
      </c>
      <c r="AQ71" s="221">
        <f>(Assumptions!$K13/12)+(Assumptions!$K13/12)*Assumptions!$M$45</f>
        <v>50000</v>
      </c>
      <c r="AR71" s="221">
        <f>(Assumptions!$K13/12)+(Assumptions!$K13/12)*Assumptions!$N$45</f>
        <v>80000</v>
      </c>
      <c r="AS71" s="221">
        <f>(Assumptions!$K13/12)+(Assumptions!$K13/12)*Assumptions!$N$45</f>
        <v>80000</v>
      </c>
      <c r="AT71" s="221">
        <f>(Assumptions!$K13/12)+(Assumptions!$K13/12)*Assumptions!$N$45</f>
        <v>80000</v>
      </c>
      <c r="AU71" s="221">
        <f>(Assumptions!$K13/12)+(Assumptions!$K13/12)*Assumptions!$N$45</f>
        <v>80000</v>
      </c>
      <c r="AV71" s="221">
        <f>(Assumptions!$K13/12)+(Assumptions!$K13/12)*Assumptions!$N$45</f>
        <v>80000</v>
      </c>
      <c r="AW71" s="221">
        <f>(Assumptions!$K13/12)+(Assumptions!$K13/12)*Assumptions!$N$45</f>
        <v>80000</v>
      </c>
      <c r="AX71" s="221">
        <f>(Assumptions!$K13/12)+(Assumptions!$K13/12)*Assumptions!$N$45</f>
        <v>80000</v>
      </c>
      <c r="AY71" s="221">
        <f>(Assumptions!$K13/12)+(Assumptions!$K13/12)*Assumptions!$N$45</f>
        <v>80000</v>
      </c>
      <c r="AZ71" s="221">
        <f>(Assumptions!$K13/12)+(Assumptions!$K13/12)*Assumptions!$N$45</f>
        <v>80000</v>
      </c>
      <c r="BA71" s="221">
        <f>(Assumptions!$K13/12)+(Assumptions!$K13/12)*Assumptions!$N$45</f>
        <v>80000</v>
      </c>
      <c r="BB71" s="221">
        <f>(Assumptions!$K13/12)+(Assumptions!$K13/12)*Assumptions!$N$45</f>
        <v>80000</v>
      </c>
      <c r="BC71" s="221">
        <f>(Assumptions!$K13/12)+(Assumptions!$K13/12)*Assumptions!$N$45</f>
        <v>80000</v>
      </c>
      <c r="BD71" s="221">
        <f>(Assumptions!$K13/12)+(Assumptions!$K13/12)*Assumptions!$O$45</f>
        <v>115000</v>
      </c>
      <c r="BE71" s="221">
        <f>(Assumptions!$K13/12)+(Assumptions!$K13/12)*Assumptions!$O$45</f>
        <v>115000</v>
      </c>
      <c r="BF71" s="221">
        <f>(Assumptions!$K13/12)+(Assumptions!$K13/12)*Assumptions!$O$45</f>
        <v>115000</v>
      </c>
      <c r="BG71" s="221">
        <f>(Assumptions!$K13/12)+(Assumptions!$K13/12)*Assumptions!$O$45</f>
        <v>115000</v>
      </c>
      <c r="BH71" s="221">
        <f>(Assumptions!$K13/12)+(Assumptions!$K13/12)*Assumptions!$O$45</f>
        <v>115000</v>
      </c>
      <c r="BI71" s="221">
        <f>(Assumptions!$K13/12)+(Assumptions!$K13/12)*Assumptions!$O$45</f>
        <v>115000</v>
      </c>
      <c r="BJ71" s="221">
        <f>(Assumptions!$K13/12)+(Assumptions!$K13/12)*Assumptions!$O$45</f>
        <v>115000</v>
      </c>
      <c r="BK71" s="221">
        <f>(Assumptions!$K13/12)+(Assumptions!$K13/12)*Assumptions!$O$45</f>
        <v>115000</v>
      </c>
      <c r="BL71" s="221">
        <f>(Assumptions!$K13/12)+(Assumptions!$K13/12)*Assumptions!$O$45</f>
        <v>115000</v>
      </c>
      <c r="BM71" s="221">
        <f>(Assumptions!$K13/12)+(Assumptions!$K13/12)*Assumptions!$O$45</f>
        <v>115000</v>
      </c>
      <c r="BN71" s="221">
        <f>(Assumptions!$K13/12)+(Assumptions!$K13/12)*Assumptions!$O$45</f>
        <v>115000</v>
      </c>
      <c r="BO71" s="221">
        <f>(Assumptions!$K13/12)+(Assumptions!$K13/12)*Assumptions!$O$45</f>
        <v>115000</v>
      </c>
    </row>
    <row r="72" spans="1:67" s="25" customFormat="1" x14ac:dyDescent="0.25">
      <c r="A72" s="25" t="s">
        <v>243</v>
      </c>
      <c r="B72" s="202">
        <f>MAX(D72:AQ72)</f>
        <v>210000</v>
      </c>
      <c r="D72" s="25">
        <f>SUM(D67:D71)</f>
        <v>0</v>
      </c>
      <c r="E72" s="25">
        <f t="shared" ref="E72:BO72" si="22">SUM(E67:E71)</f>
        <v>0</v>
      </c>
      <c r="F72" s="25">
        <f t="shared" si="22"/>
        <v>0</v>
      </c>
      <c r="G72" s="25">
        <f t="shared" si="22"/>
        <v>0</v>
      </c>
      <c r="H72" s="25">
        <f t="shared" si="22"/>
        <v>52500</v>
      </c>
      <c r="I72" s="25">
        <f t="shared" si="22"/>
        <v>52500</v>
      </c>
      <c r="J72" s="25">
        <f t="shared" si="22"/>
        <v>52500</v>
      </c>
      <c r="K72" s="25">
        <f t="shared" si="22"/>
        <v>52500</v>
      </c>
      <c r="L72" s="25">
        <f t="shared" si="22"/>
        <v>52500</v>
      </c>
      <c r="M72" s="25">
        <f t="shared" si="22"/>
        <v>52500</v>
      </c>
      <c r="N72" s="25">
        <f t="shared" si="22"/>
        <v>52500</v>
      </c>
      <c r="O72" s="25">
        <f t="shared" si="22"/>
        <v>52500</v>
      </c>
      <c r="P72" s="25">
        <f t="shared" si="22"/>
        <v>52500</v>
      </c>
      <c r="Q72" s="25">
        <f t="shared" si="22"/>
        <v>52500</v>
      </c>
      <c r="R72" s="25">
        <f t="shared" si="22"/>
        <v>52500</v>
      </c>
      <c r="S72" s="25">
        <f t="shared" si="22"/>
        <v>52500</v>
      </c>
      <c r="T72" s="25">
        <f t="shared" si="22"/>
        <v>121875</v>
      </c>
      <c r="U72" s="25">
        <f t="shared" si="22"/>
        <v>121875</v>
      </c>
      <c r="V72" s="25">
        <f t="shared" si="22"/>
        <v>121875</v>
      </c>
      <c r="W72" s="25">
        <f t="shared" si="22"/>
        <v>121875</v>
      </c>
      <c r="X72" s="25">
        <f t="shared" si="22"/>
        <v>121875</v>
      </c>
      <c r="Y72" s="25">
        <f t="shared" si="22"/>
        <v>121875</v>
      </c>
      <c r="Z72" s="25">
        <f t="shared" si="22"/>
        <v>121875</v>
      </c>
      <c r="AA72" s="25">
        <f t="shared" si="22"/>
        <v>121875</v>
      </c>
      <c r="AB72" s="25">
        <f t="shared" si="22"/>
        <v>121875</v>
      </c>
      <c r="AC72" s="25">
        <f t="shared" si="22"/>
        <v>121875</v>
      </c>
      <c r="AD72" s="25">
        <f t="shared" si="22"/>
        <v>121875</v>
      </c>
      <c r="AE72" s="25">
        <f t="shared" si="22"/>
        <v>121875</v>
      </c>
      <c r="AF72" s="25">
        <f t="shared" si="22"/>
        <v>210000</v>
      </c>
      <c r="AG72" s="25">
        <f t="shared" si="22"/>
        <v>210000</v>
      </c>
      <c r="AH72" s="25">
        <f t="shared" si="22"/>
        <v>210000</v>
      </c>
      <c r="AI72" s="25">
        <f t="shared" si="22"/>
        <v>210000</v>
      </c>
      <c r="AJ72" s="25">
        <f t="shared" si="22"/>
        <v>210000</v>
      </c>
      <c r="AK72" s="25">
        <f t="shared" si="22"/>
        <v>210000</v>
      </c>
      <c r="AL72" s="25">
        <f t="shared" si="22"/>
        <v>210000</v>
      </c>
      <c r="AM72" s="25">
        <f t="shared" si="22"/>
        <v>210000</v>
      </c>
      <c r="AN72" s="25">
        <f t="shared" si="22"/>
        <v>210000</v>
      </c>
      <c r="AO72" s="25">
        <f t="shared" si="22"/>
        <v>210000</v>
      </c>
      <c r="AP72" s="25">
        <f t="shared" si="22"/>
        <v>210000</v>
      </c>
      <c r="AQ72" s="25">
        <f t="shared" si="22"/>
        <v>210000</v>
      </c>
      <c r="AR72" s="25">
        <f t="shared" si="22"/>
        <v>326250</v>
      </c>
      <c r="AS72" s="25">
        <f t="shared" si="22"/>
        <v>326250</v>
      </c>
      <c r="AT72" s="25">
        <f t="shared" si="22"/>
        <v>326250</v>
      </c>
      <c r="AU72" s="25">
        <f t="shared" si="22"/>
        <v>326250</v>
      </c>
      <c r="AV72" s="25">
        <f t="shared" si="22"/>
        <v>326250</v>
      </c>
      <c r="AW72" s="25">
        <f t="shared" si="22"/>
        <v>326250</v>
      </c>
      <c r="AX72" s="25">
        <f t="shared" si="22"/>
        <v>326250</v>
      </c>
      <c r="AY72" s="25">
        <f t="shared" si="22"/>
        <v>326250</v>
      </c>
      <c r="AZ72" s="25">
        <f t="shared" si="22"/>
        <v>326250</v>
      </c>
      <c r="BA72" s="25">
        <f t="shared" si="22"/>
        <v>326250</v>
      </c>
      <c r="BB72" s="25">
        <f t="shared" si="22"/>
        <v>326250</v>
      </c>
      <c r="BC72" s="25">
        <f t="shared" si="22"/>
        <v>326250</v>
      </c>
      <c r="BD72" s="25">
        <f t="shared" si="22"/>
        <v>457500</v>
      </c>
      <c r="BE72" s="25">
        <f t="shared" si="22"/>
        <v>457500</v>
      </c>
      <c r="BF72" s="25">
        <f t="shared" si="22"/>
        <v>457500</v>
      </c>
      <c r="BG72" s="25">
        <f t="shared" si="22"/>
        <v>457500</v>
      </c>
      <c r="BH72" s="25">
        <f t="shared" si="22"/>
        <v>457500</v>
      </c>
      <c r="BI72" s="25">
        <f t="shared" si="22"/>
        <v>457500</v>
      </c>
      <c r="BJ72" s="25">
        <f t="shared" si="22"/>
        <v>457500</v>
      </c>
      <c r="BK72" s="25">
        <f t="shared" si="22"/>
        <v>457500</v>
      </c>
      <c r="BL72" s="25">
        <f t="shared" si="22"/>
        <v>457500</v>
      </c>
      <c r="BM72" s="25">
        <f t="shared" si="22"/>
        <v>457500</v>
      </c>
      <c r="BN72" s="25">
        <f t="shared" si="22"/>
        <v>457500</v>
      </c>
      <c r="BO72" s="25">
        <f t="shared" si="22"/>
        <v>457500</v>
      </c>
    </row>
    <row r="73" spans="1:67" x14ac:dyDescent="0.25">
      <c r="B73" s="202"/>
    </row>
    <row r="74" spans="1:67" x14ac:dyDescent="0.25">
      <c r="A74" s="197" t="s">
        <v>191</v>
      </c>
      <c r="B74" s="202"/>
    </row>
    <row r="75" spans="1:67" x14ac:dyDescent="0.25">
      <c r="A75" s="220" t="str">
        <f>Assumptions!$J$16</f>
        <v>CTO</v>
      </c>
      <c r="B75" s="202" t="b">
        <f>(H75*12)=Assumptions!K16</f>
        <v>1</v>
      </c>
      <c r="D75" s="214"/>
      <c r="E75" s="214"/>
      <c r="F75" s="214"/>
      <c r="G75" s="214"/>
      <c r="H75" s="221">
        <f>(Assumptions!$K16/12)+(Assumptions!$K16/12)*Assumptions!$K$45</f>
        <v>15000</v>
      </c>
      <c r="I75" s="221">
        <f>(Assumptions!$K16/12)+(Assumptions!$K16/12)*Assumptions!$K$45</f>
        <v>15000</v>
      </c>
      <c r="J75" s="221">
        <f>(Assumptions!$K16/12)+(Assumptions!$K16/12)*Assumptions!$K$45</f>
        <v>15000</v>
      </c>
      <c r="K75" s="221">
        <f>(Assumptions!$K16/12)+(Assumptions!$K16/12)*Assumptions!$K$45</f>
        <v>15000</v>
      </c>
      <c r="L75" s="221">
        <f>(Assumptions!$K16/12)+(Assumptions!$K16/12)*Assumptions!$K$45</f>
        <v>15000</v>
      </c>
      <c r="M75" s="221">
        <f>(Assumptions!$K16/12)+(Assumptions!$K16/12)*Assumptions!$K$45</f>
        <v>15000</v>
      </c>
      <c r="N75" s="221">
        <f>(Assumptions!$K16/12)+(Assumptions!$K16/12)*Assumptions!$K$45</f>
        <v>15000</v>
      </c>
      <c r="O75" s="221">
        <f>(Assumptions!$K16/12)+(Assumptions!$K16/12)*Assumptions!$K$45</f>
        <v>15000</v>
      </c>
      <c r="P75" s="221">
        <f>(Assumptions!$K16/12)+(Assumptions!$K16/12)*Assumptions!$K$45</f>
        <v>15000</v>
      </c>
      <c r="Q75" s="221">
        <f>(Assumptions!$K16/12)+(Assumptions!$K16/12)*Assumptions!$K$45</f>
        <v>15000</v>
      </c>
      <c r="R75" s="221">
        <f>(Assumptions!$K16/12)+(Assumptions!$K16/12)*Assumptions!$K$45</f>
        <v>15000</v>
      </c>
      <c r="S75" s="221">
        <f>(Assumptions!$K16/12)+(Assumptions!$K16/12)*Assumptions!$K$45</f>
        <v>15000</v>
      </c>
      <c r="T75" s="221">
        <f>(Assumptions!$K16/12)+(Assumptions!$K16/12)*Assumptions!$L$45</f>
        <v>75000</v>
      </c>
      <c r="U75" s="221">
        <f>(Assumptions!$K16/12)+(Assumptions!$K16/12)*Assumptions!$L$45</f>
        <v>75000</v>
      </c>
      <c r="V75" s="221">
        <f>(Assumptions!$K16/12)+(Assumptions!$K16/12)*Assumptions!$L$45</f>
        <v>75000</v>
      </c>
      <c r="W75" s="221">
        <f>(Assumptions!$K16/12)+(Assumptions!$K16/12)*Assumptions!$L$45</f>
        <v>75000</v>
      </c>
      <c r="X75" s="221">
        <f>(Assumptions!$K16/12)+(Assumptions!$K16/12)*Assumptions!$L$45</f>
        <v>75000</v>
      </c>
      <c r="Y75" s="221">
        <f>(Assumptions!$K16/12)+(Assumptions!$K16/12)*Assumptions!$L$45</f>
        <v>75000</v>
      </c>
      <c r="Z75" s="221">
        <f>(Assumptions!$K16/12)+(Assumptions!$K16/12)*Assumptions!$L$45</f>
        <v>75000</v>
      </c>
      <c r="AA75" s="221">
        <f>(Assumptions!$K16/12)+(Assumptions!$K16/12)*Assumptions!$L$45</f>
        <v>75000</v>
      </c>
      <c r="AB75" s="221">
        <f>(Assumptions!$K16/12)+(Assumptions!$K16/12)*Assumptions!$L$45</f>
        <v>75000</v>
      </c>
      <c r="AC75" s="221">
        <f>(Assumptions!$K16/12)+(Assumptions!$K16/12)*Assumptions!$L$45</f>
        <v>75000</v>
      </c>
      <c r="AD75" s="221">
        <f>(Assumptions!$K16/12)+(Assumptions!$K16/12)*Assumptions!$L$45</f>
        <v>75000</v>
      </c>
      <c r="AE75" s="221">
        <f>(Assumptions!$K16/12)+(Assumptions!$K16/12)*Assumptions!$L$45</f>
        <v>75000</v>
      </c>
      <c r="AF75" s="221">
        <f>(Assumptions!$K16/12)+(Assumptions!$K16/12)*Assumptions!$M$45</f>
        <v>150000</v>
      </c>
      <c r="AG75" s="221">
        <f>(Assumptions!$K16/12)+(Assumptions!$K16/12)*Assumptions!$M$45</f>
        <v>150000</v>
      </c>
      <c r="AH75" s="221">
        <f>(Assumptions!$K16/12)+(Assumptions!$K16/12)*Assumptions!$M$45</f>
        <v>150000</v>
      </c>
      <c r="AI75" s="221">
        <f>(Assumptions!$K16/12)+(Assumptions!$K16/12)*Assumptions!$M$45</f>
        <v>150000</v>
      </c>
      <c r="AJ75" s="221">
        <f>(Assumptions!$K16/12)+(Assumptions!$K16/12)*Assumptions!$M$45</f>
        <v>150000</v>
      </c>
      <c r="AK75" s="221">
        <f>(Assumptions!$K16/12)+(Assumptions!$K16/12)*Assumptions!$M$45</f>
        <v>150000</v>
      </c>
      <c r="AL75" s="221">
        <f>(Assumptions!$K16/12)+(Assumptions!$K16/12)*Assumptions!$M$45</f>
        <v>150000</v>
      </c>
      <c r="AM75" s="221">
        <f>(Assumptions!$K16/12)+(Assumptions!$K16/12)*Assumptions!$M$45</f>
        <v>150000</v>
      </c>
      <c r="AN75" s="221">
        <f>(Assumptions!$K16/12)+(Assumptions!$K16/12)*Assumptions!$M$45</f>
        <v>150000</v>
      </c>
      <c r="AO75" s="221">
        <f>(Assumptions!$K16/12)+(Assumptions!$K16/12)*Assumptions!$M$45</f>
        <v>150000</v>
      </c>
      <c r="AP75" s="221">
        <f>(Assumptions!$K16/12)+(Assumptions!$K16/12)*Assumptions!$M$45</f>
        <v>150000</v>
      </c>
      <c r="AQ75" s="221">
        <f>(Assumptions!$K16/12)+(Assumptions!$K16/12)*Assumptions!$M$45</f>
        <v>150000</v>
      </c>
      <c r="AR75" s="221">
        <f>(Assumptions!$K16/12)+(Assumptions!$K16/12)*Assumptions!$N$45</f>
        <v>240000</v>
      </c>
      <c r="AS75" s="221">
        <f>(Assumptions!$K16/12)+(Assumptions!$K16/12)*Assumptions!$N$45</f>
        <v>240000</v>
      </c>
      <c r="AT75" s="221">
        <f>(Assumptions!$K16/12)+(Assumptions!$K16/12)*Assumptions!$N$45</f>
        <v>240000</v>
      </c>
      <c r="AU75" s="221">
        <f>(Assumptions!$K16/12)+(Assumptions!$K16/12)*Assumptions!$N$45</f>
        <v>240000</v>
      </c>
      <c r="AV75" s="221">
        <f>(Assumptions!$K16/12)+(Assumptions!$K16/12)*Assumptions!$N$45</f>
        <v>240000</v>
      </c>
      <c r="AW75" s="221">
        <f>(Assumptions!$K16/12)+(Assumptions!$K16/12)*Assumptions!$N$45</f>
        <v>240000</v>
      </c>
      <c r="AX75" s="221">
        <f>(Assumptions!$K16/12)+(Assumptions!$K16/12)*Assumptions!$N$45</f>
        <v>240000</v>
      </c>
      <c r="AY75" s="221">
        <f>(Assumptions!$K16/12)+(Assumptions!$K16/12)*Assumptions!$N$45</f>
        <v>240000</v>
      </c>
      <c r="AZ75" s="221">
        <f>(Assumptions!$K16/12)+(Assumptions!$K16/12)*Assumptions!$N$45</f>
        <v>240000</v>
      </c>
      <c r="BA75" s="221">
        <f>(Assumptions!$K16/12)+(Assumptions!$K16/12)*Assumptions!$N$45</f>
        <v>240000</v>
      </c>
      <c r="BB75" s="221">
        <f>(Assumptions!$K16/12)+(Assumptions!$K16/12)*Assumptions!$N$45</f>
        <v>240000</v>
      </c>
      <c r="BC75" s="221">
        <f>(Assumptions!$K16/12)+(Assumptions!$K16/12)*Assumptions!$N$45</f>
        <v>240000</v>
      </c>
      <c r="BD75" s="221">
        <f>(Assumptions!$K16/12)+(Assumptions!$K16/12)*Assumptions!$O$45</f>
        <v>345000</v>
      </c>
      <c r="BE75" s="221">
        <f>(Assumptions!$K16/12)+(Assumptions!$K16/12)*Assumptions!$O$45</f>
        <v>345000</v>
      </c>
      <c r="BF75" s="221">
        <f>(Assumptions!$K16/12)+(Assumptions!$K16/12)*Assumptions!$O$45</f>
        <v>345000</v>
      </c>
      <c r="BG75" s="221">
        <f>(Assumptions!$K16/12)+(Assumptions!$K16/12)*Assumptions!$O$45</f>
        <v>345000</v>
      </c>
      <c r="BH75" s="221">
        <f>(Assumptions!$K16/12)+(Assumptions!$K16/12)*Assumptions!$O$45</f>
        <v>345000</v>
      </c>
      <c r="BI75" s="221">
        <f>(Assumptions!$K16/12)+(Assumptions!$K16/12)*Assumptions!$O$45</f>
        <v>345000</v>
      </c>
      <c r="BJ75" s="221">
        <f>(Assumptions!$K16/12)+(Assumptions!$K16/12)*Assumptions!$O$45</f>
        <v>345000</v>
      </c>
      <c r="BK75" s="221">
        <f>(Assumptions!$K16/12)+(Assumptions!$K16/12)*Assumptions!$O$45</f>
        <v>345000</v>
      </c>
      <c r="BL75" s="221">
        <f>(Assumptions!$K16/12)+(Assumptions!$K16/12)*Assumptions!$O$45</f>
        <v>345000</v>
      </c>
      <c r="BM75" s="221">
        <f>(Assumptions!$K16/12)+(Assumptions!$K16/12)*Assumptions!$O$45</f>
        <v>345000</v>
      </c>
      <c r="BN75" s="221">
        <f>(Assumptions!$K16/12)+(Assumptions!$K16/12)*Assumptions!$O$45</f>
        <v>345000</v>
      </c>
      <c r="BO75" s="221">
        <f>(Assumptions!$K16/12)+(Assumptions!$K16/12)*Assumptions!$O$45</f>
        <v>345000</v>
      </c>
    </row>
    <row r="76" spans="1:67" x14ac:dyDescent="0.25">
      <c r="A76" s="220" t="str">
        <f>Assumptions!$J$17</f>
        <v>CISO</v>
      </c>
      <c r="B76" s="202" t="b">
        <f>(H76*12)=Assumptions!K17</f>
        <v>1</v>
      </c>
      <c r="D76" s="214"/>
      <c r="E76" s="214"/>
      <c r="F76" s="214"/>
      <c r="G76" s="214"/>
      <c r="H76" s="221">
        <f>(Assumptions!$K17/12)+(Assumptions!$K17/12)*Assumptions!$K$45</f>
        <v>12500</v>
      </c>
      <c r="I76" s="221">
        <f>(Assumptions!$K17/12)+(Assumptions!$K17/12)*Assumptions!$K$45</f>
        <v>12500</v>
      </c>
      <c r="J76" s="221">
        <f>(Assumptions!$K17/12)+(Assumptions!$K17/12)*Assumptions!$K$45</f>
        <v>12500</v>
      </c>
      <c r="K76" s="221">
        <f>(Assumptions!$K17/12)+(Assumptions!$K17/12)*Assumptions!$K$45</f>
        <v>12500</v>
      </c>
      <c r="L76" s="221">
        <f>(Assumptions!$K17/12)+(Assumptions!$K17/12)*Assumptions!$K$45</f>
        <v>12500</v>
      </c>
      <c r="M76" s="221">
        <f>(Assumptions!$K17/12)+(Assumptions!$K17/12)*Assumptions!$K$45</f>
        <v>12500</v>
      </c>
      <c r="N76" s="221">
        <f>(Assumptions!$K17/12)+(Assumptions!$K17/12)*Assumptions!$K$45</f>
        <v>12500</v>
      </c>
      <c r="O76" s="221">
        <f>(Assumptions!$K17/12)+(Assumptions!$K17/12)*Assumptions!$K$45</f>
        <v>12500</v>
      </c>
      <c r="P76" s="221">
        <f>(Assumptions!$K17/12)+(Assumptions!$K17/12)*Assumptions!$K$45</f>
        <v>12500</v>
      </c>
      <c r="Q76" s="221">
        <f>(Assumptions!$K17/12)+(Assumptions!$K17/12)*Assumptions!$K$45</f>
        <v>12500</v>
      </c>
      <c r="R76" s="221">
        <f>(Assumptions!$K17/12)+(Assumptions!$K17/12)*Assumptions!$K$45</f>
        <v>12500</v>
      </c>
      <c r="S76" s="221">
        <f>(Assumptions!$K17/12)+(Assumptions!$K17/12)*Assumptions!$K$45</f>
        <v>12500</v>
      </c>
      <c r="T76" s="221">
        <f>(Assumptions!$K17/12)+(Assumptions!$K17/12)*Assumptions!$L$45</f>
        <v>62500</v>
      </c>
      <c r="U76" s="221">
        <f>(Assumptions!$K17/12)+(Assumptions!$K17/12)*Assumptions!$L$45</f>
        <v>62500</v>
      </c>
      <c r="V76" s="221">
        <f>(Assumptions!$K17/12)+(Assumptions!$K17/12)*Assumptions!$L$45</f>
        <v>62500</v>
      </c>
      <c r="W76" s="221">
        <f>(Assumptions!$K17/12)+(Assumptions!$K17/12)*Assumptions!$L$45</f>
        <v>62500</v>
      </c>
      <c r="X76" s="221">
        <f>(Assumptions!$K17/12)+(Assumptions!$K17/12)*Assumptions!$L$45</f>
        <v>62500</v>
      </c>
      <c r="Y76" s="221">
        <f>(Assumptions!$K17/12)+(Assumptions!$K17/12)*Assumptions!$L$45</f>
        <v>62500</v>
      </c>
      <c r="Z76" s="221">
        <f>(Assumptions!$K17/12)+(Assumptions!$K17/12)*Assumptions!$L$45</f>
        <v>62500</v>
      </c>
      <c r="AA76" s="221">
        <f>(Assumptions!$K17/12)+(Assumptions!$K17/12)*Assumptions!$L$45</f>
        <v>62500</v>
      </c>
      <c r="AB76" s="221">
        <f>(Assumptions!$K17/12)+(Assumptions!$K17/12)*Assumptions!$L$45</f>
        <v>62500</v>
      </c>
      <c r="AC76" s="221">
        <f>(Assumptions!$K17/12)+(Assumptions!$K17/12)*Assumptions!$L$45</f>
        <v>62500</v>
      </c>
      <c r="AD76" s="221">
        <f>(Assumptions!$K17/12)+(Assumptions!$K17/12)*Assumptions!$L$45</f>
        <v>62500</v>
      </c>
      <c r="AE76" s="221">
        <f>(Assumptions!$K17/12)+(Assumptions!$K17/12)*Assumptions!$L$45</f>
        <v>62500</v>
      </c>
      <c r="AF76" s="221">
        <f>(Assumptions!$K17/12)+(Assumptions!$K17/12)*Assumptions!$M$45</f>
        <v>125000</v>
      </c>
      <c r="AG76" s="221">
        <f>(Assumptions!$K17/12)+(Assumptions!$K17/12)*Assumptions!$M$45</f>
        <v>125000</v>
      </c>
      <c r="AH76" s="221">
        <f>(Assumptions!$K17/12)+(Assumptions!$K17/12)*Assumptions!$M$45</f>
        <v>125000</v>
      </c>
      <c r="AI76" s="221">
        <f>(Assumptions!$K17/12)+(Assumptions!$K17/12)*Assumptions!$M$45</f>
        <v>125000</v>
      </c>
      <c r="AJ76" s="221">
        <f>(Assumptions!$K17/12)+(Assumptions!$K17/12)*Assumptions!$M$45</f>
        <v>125000</v>
      </c>
      <c r="AK76" s="221">
        <f>(Assumptions!$K17/12)+(Assumptions!$K17/12)*Assumptions!$M$45</f>
        <v>125000</v>
      </c>
      <c r="AL76" s="221">
        <f>(Assumptions!$K17/12)+(Assumptions!$K17/12)*Assumptions!$M$45</f>
        <v>125000</v>
      </c>
      <c r="AM76" s="221">
        <f>(Assumptions!$K17/12)+(Assumptions!$K17/12)*Assumptions!$M$45</f>
        <v>125000</v>
      </c>
      <c r="AN76" s="221">
        <f>(Assumptions!$K17/12)+(Assumptions!$K17/12)*Assumptions!$M$45</f>
        <v>125000</v>
      </c>
      <c r="AO76" s="221">
        <f>(Assumptions!$K17/12)+(Assumptions!$K17/12)*Assumptions!$M$45</f>
        <v>125000</v>
      </c>
      <c r="AP76" s="221">
        <f>(Assumptions!$K17/12)+(Assumptions!$K17/12)*Assumptions!$M$45</f>
        <v>125000</v>
      </c>
      <c r="AQ76" s="221">
        <f>(Assumptions!$K17/12)+(Assumptions!$K17/12)*Assumptions!$M$45</f>
        <v>125000</v>
      </c>
      <c r="AR76" s="221">
        <f>(Assumptions!$K17/12)+(Assumptions!$K17/12)*Assumptions!$N$45</f>
        <v>200000</v>
      </c>
      <c r="AS76" s="221">
        <f>(Assumptions!$K17/12)+(Assumptions!$K17/12)*Assumptions!$N$45</f>
        <v>200000</v>
      </c>
      <c r="AT76" s="221">
        <f>(Assumptions!$K17/12)+(Assumptions!$K17/12)*Assumptions!$N$45</f>
        <v>200000</v>
      </c>
      <c r="AU76" s="221">
        <f>(Assumptions!$K17/12)+(Assumptions!$K17/12)*Assumptions!$N$45</f>
        <v>200000</v>
      </c>
      <c r="AV76" s="221">
        <f>(Assumptions!$K17/12)+(Assumptions!$K17/12)*Assumptions!$N$45</f>
        <v>200000</v>
      </c>
      <c r="AW76" s="221">
        <f>(Assumptions!$K17/12)+(Assumptions!$K17/12)*Assumptions!$N$45</f>
        <v>200000</v>
      </c>
      <c r="AX76" s="221">
        <f>(Assumptions!$K17/12)+(Assumptions!$K17/12)*Assumptions!$N$45</f>
        <v>200000</v>
      </c>
      <c r="AY76" s="221">
        <f>(Assumptions!$K17/12)+(Assumptions!$K17/12)*Assumptions!$N$45</f>
        <v>200000</v>
      </c>
      <c r="AZ76" s="221">
        <f>(Assumptions!$K17/12)+(Assumptions!$K17/12)*Assumptions!$N$45</f>
        <v>200000</v>
      </c>
      <c r="BA76" s="221">
        <f>(Assumptions!$K17/12)+(Assumptions!$K17/12)*Assumptions!$N$45</f>
        <v>200000</v>
      </c>
      <c r="BB76" s="221">
        <f>(Assumptions!$K17/12)+(Assumptions!$K17/12)*Assumptions!$N$45</f>
        <v>200000</v>
      </c>
      <c r="BC76" s="221">
        <f>(Assumptions!$K17/12)+(Assumptions!$K17/12)*Assumptions!$N$45</f>
        <v>200000</v>
      </c>
      <c r="BD76" s="221">
        <f>(Assumptions!$K17/12)+(Assumptions!$K17/12)*Assumptions!$O$45</f>
        <v>287500</v>
      </c>
      <c r="BE76" s="221">
        <f>(Assumptions!$K17/12)+(Assumptions!$K17/12)*Assumptions!$O$45</f>
        <v>287500</v>
      </c>
      <c r="BF76" s="221">
        <f>(Assumptions!$K17/12)+(Assumptions!$K17/12)*Assumptions!$O$45</f>
        <v>287500</v>
      </c>
      <c r="BG76" s="221">
        <f>(Assumptions!$K17/12)+(Assumptions!$K17/12)*Assumptions!$O$45</f>
        <v>287500</v>
      </c>
      <c r="BH76" s="221">
        <f>(Assumptions!$K17/12)+(Assumptions!$K17/12)*Assumptions!$O$45</f>
        <v>287500</v>
      </c>
      <c r="BI76" s="221">
        <f>(Assumptions!$K17/12)+(Assumptions!$K17/12)*Assumptions!$O$45</f>
        <v>287500</v>
      </c>
      <c r="BJ76" s="221">
        <f>(Assumptions!$K17/12)+(Assumptions!$K17/12)*Assumptions!$O$45</f>
        <v>287500</v>
      </c>
      <c r="BK76" s="221">
        <f>(Assumptions!$K17/12)+(Assumptions!$K17/12)*Assumptions!$O$45</f>
        <v>287500</v>
      </c>
      <c r="BL76" s="221">
        <f>(Assumptions!$K17/12)+(Assumptions!$K17/12)*Assumptions!$O$45</f>
        <v>287500</v>
      </c>
      <c r="BM76" s="221">
        <f>(Assumptions!$K17/12)+(Assumptions!$K17/12)*Assumptions!$O$45</f>
        <v>287500</v>
      </c>
      <c r="BN76" s="221">
        <f>(Assumptions!$K17/12)+(Assumptions!$K17/12)*Assumptions!$O$45</f>
        <v>287500</v>
      </c>
      <c r="BO76" s="221">
        <f>(Assumptions!$K17/12)+(Assumptions!$K17/12)*Assumptions!$O$45</f>
        <v>287500</v>
      </c>
    </row>
    <row r="77" spans="1:67" x14ac:dyDescent="0.25">
      <c r="A77" s="220" t="str">
        <f>Assumptions!$J$18</f>
        <v>InfoSec Consultant</v>
      </c>
      <c r="B77" s="202" t="b">
        <f>(H77*12)=Assumptions!K18</f>
        <v>1</v>
      </c>
      <c r="D77" s="214"/>
      <c r="E77" s="214"/>
      <c r="F77" s="214"/>
      <c r="G77" s="214"/>
      <c r="H77" s="221">
        <f>(Assumptions!$K18/12)+(Assumptions!$K18/12)*Assumptions!$K$45</f>
        <v>8333.3333333333339</v>
      </c>
      <c r="I77" s="221">
        <f>(Assumptions!$K18/12)+(Assumptions!$K18/12)*Assumptions!$K$45</f>
        <v>8333.3333333333339</v>
      </c>
      <c r="J77" s="221">
        <f>(Assumptions!$K18/12)+(Assumptions!$K18/12)*Assumptions!$K$45</f>
        <v>8333.3333333333339</v>
      </c>
      <c r="K77" s="221">
        <f>(Assumptions!$K18/12)+(Assumptions!$K18/12)*Assumptions!$K$45</f>
        <v>8333.3333333333339</v>
      </c>
      <c r="L77" s="221">
        <f>(Assumptions!$K18/12)+(Assumptions!$K18/12)*Assumptions!$K$45</f>
        <v>8333.3333333333339</v>
      </c>
      <c r="M77" s="221">
        <f>(Assumptions!$K18/12)+(Assumptions!$K18/12)*Assumptions!$K$45</f>
        <v>8333.3333333333339</v>
      </c>
      <c r="N77" s="221">
        <f>(Assumptions!$K18/12)+(Assumptions!$K18/12)*Assumptions!$K$45</f>
        <v>8333.3333333333339</v>
      </c>
      <c r="O77" s="221">
        <f>(Assumptions!$K18/12)+(Assumptions!$K18/12)*Assumptions!$K$45</f>
        <v>8333.3333333333339</v>
      </c>
      <c r="P77" s="221">
        <f>(Assumptions!$K18/12)+(Assumptions!$K18/12)*Assumptions!$K$45</f>
        <v>8333.3333333333339</v>
      </c>
      <c r="Q77" s="221">
        <f>(Assumptions!$K18/12)+(Assumptions!$K18/12)*Assumptions!$K$45</f>
        <v>8333.3333333333339</v>
      </c>
      <c r="R77" s="221">
        <f>(Assumptions!$K18/12)+(Assumptions!$K18/12)*Assumptions!$K$45</f>
        <v>8333.3333333333339</v>
      </c>
      <c r="S77" s="221">
        <f>(Assumptions!$K18/12)+(Assumptions!$K18/12)*Assumptions!$K$45</f>
        <v>8333.3333333333339</v>
      </c>
      <c r="T77" s="221">
        <f>(Assumptions!$K18/12)+(Assumptions!$K18/12)*Assumptions!$L$45</f>
        <v>41666.666666666672</v>
      </c>
      <c r="U77" s="221">
        <f>(Assumptions!$K18/12)+(Assumptions!$K18/12)*Assumptions!$L$45</f>
        <v>41666.666666666672</v>
      </c>
      <c r="V77" s="221">
        <f>(Assumptions!$K18/12)+(Assumptions!$K18/12)*Assumptions!$L$45</f>
        <v>41666.666666666672</v>
      </c>
      <c r="W77" s="221">
        <f>(Assumptions!$K18/12)+(Assumptions!$K18/12)*Assumptions!$L$45</f>
        <v>41666.666666666672</v>
      </c>
      <c r="X77" s="221">
        <f>(Assumptions!$K18/12)+(Assumptions!$K18/12)*Assumptions!$L$45</f>
        <v>41666.666666666672</v>
      </c>
      <c r="Y77" s="221">
        <f>(Assumptions!$K18/12)+(Assumptions!$K18/12)*Assumptions!$L$45</f>
        <v>41666.666666666672</v>
      </c>
      <c r="Z77" s="221">
        <f>(Assumptions!$K18/12)+(Assumptions!$K18/12)*Assumptions!$L$45</f>
        <v>41666.666666666672</v>
      </c>
      <c r="AA77" s="221">
        <f>(Assumptions!$K18/12)+(Assumptions!$K18/12)*Assumptions!$L$45</f>
        <v>41666.666666666672</v>
      </c>
      <c r="AB77" s="221">
        <f>(Assumptions!$K18/12)+(Assumptions!$K18/12)*Assumptions!$L$45</f>
        <v>41666.666666666672</v>
      </c>
      <c r="AC77" s="221">
        <f>(Assumptions!$K18/12)+(Assumptions!$K18/12)*Assumptions!$L$45</f>
        <v>41666.666666666672</v>
      </c>
      <c r="AD77" s="221">
        <f>(Assumptions!$K18/12)+(Assumptions!$K18/12)*Assumptions!$L$45</f>
        <v>41666.666666666672</v>
      </c>
      <c r="AE77" s="221">
        <f>(Assumptions!$K18/12)+(Assumptions!$K18/12)*Assumptions!$L$45</f>
        <v>41666.666666666672</v>
      </c>
      <c r="AF77" s="221">
        <f>(Assumptions!$K18/12)+(Assumptions!$K18/12)*Assumptions!$M$45</f>
        <v>83333.333333333328</v>
      </c>
      <c r="AG77" s="221">
        <f>(Assumptions!$K18/12)+(Assumptions!$K18/12)*Assumptions!$M$45</f>
        <v>83333.333333333328</v>
      </c>
      <c r="AH77" s="221">
        <f>(Assumptions!$K18/12)+(Assumptions!$K18/12)*Assumptions!$M$45</f>
        <v>83333.333333333328</v>
      </c>
      <c r="AI77" s="221">
        <f>(Assumptions!$K18/12)+(Assumptions!$K18/12)*Assumptions!$M$45</f>
        <v>83333.333333333328</v>
      </c>
      <c r="AJ77" s="221">
        <f>(Assumptions!$K18/12)+(Assumptions!$K18/12)*Assumptions!$M$45</f>
        <v>83333.333333333328</v>
      </c>
      <c r="AK77" s="221">
        <f>(Assumptions!$K18/12)+(Assumptions!$K18/12)*Assumptions!$M$45</f>
        <v>83333.333333333328</v>
      </c>
      <c r="AL77" s="221">
        <f>(Assumptions!$K18/12)+(Assumptions!$K18/12)*Assumptions!$M$45</f>
        <v>83333.333333333328</v>
      </c>
      <c r="AM77" s="221">
        <f>(Assumptions!$K18/12)+(Assumptions!$K18/12)*Assumptions!$M$45</f>
        <v>83333.333333333328</v>
      </c>
      <c r="AN77" s="221">
        <f>(Assumptions!$K18/12)+(Assumptions!$K18/12)*Assumptions!$M$45</f>
        <v>83333.333333333328</v>
      </c>
      <c r="AO77" s="221">
        <f>(Assumptions!$K18/12)+(Assumptions!$K18/12)*Assumptions!$M$45</f>
        <v>83333.333333333328</v>
      </c>
      <c r="AP77" s="221">
        <f>(Assumptions!$K18/12)+(Assumptions!$K18/12)*Assumptions!$M$45</f>
        <v>83333.333333333328</v>
      </c>
      <c r="AQ77" s="221">
        <f>(Assumptions!$K18/12)+(Assumptions!$K18/12)*Assumptions!$M$45</f>
        <v>83333.333333333328</v>
      </c>
      <c r="AR77" s="221">
        <f>(Assumptions!$K18/12)+(Assumptions!$K18/12)*Assumptions!$N$45</f>
        <v>133333.33333333334</v>
      </c>
      <c r="AS77" s="221">
        <f>(Assumptions!$K18/12)+(Assumptions!$K18/12)*Assumptions!$N$45</f>
        <v>133333.33333333334</v>
      </c>
      <c r="AT77" s="221">
        <f>(Assumptions!$K18/12)+(Assumptions!$K18/12)*Assumptions!$N$45</f>
        <v>133333.33333333334</v>
      </c>
      <c r="AU77" s="221">
        <f>(Assumptions!$K18/12)+(Assumptions!$K18/12)*Assumptions!$N$45</f>
        <v>133333.33333333334</v>
      </c>
      <c r="AV77" s="221">
        <f>(Assumptions!$K18/12)+(Assumptions!$K18/12)*Assumptions!$N$45</f>
        <v>133333.33333333334</v>
      </c>
      <c r="AW77" s="221">
        <f>(Assumptions!$K18/12)+(Assumptions!$K18/12)*Assumptions!$N$45</f>
        <v>133333.33333333334</v>
      </c>
      <c r="AX77" s="221">
        <f>(Assumptions!$K18/12)+(Assumptions!$K18/12)*Assumptions!$N$45</f>
        <v>133333.33333333334</v>
      </c>
      <c r="AY77" s="221">
        <f>(Assumptions!$K18/12)+(Assumptions!$K18/12)*Assumptions!$N$45</f>
        <v>133333.33333333334</v>
      </c>
      <c r="AZ77" s="221">
        <f>(Assumptions!$K18/12)+(Assumptions!$K18/12)*Assumptions!$N$45</f>
        <v>133333.33333333334</v>
      </c>
      <c r="BA77" s="221">
        <f>(Assumptions!$K18/12)+(Assumptions!$K18/12)*Assumptions!$N$45</f>
        <v>133333.33333333334</v>
      </c>
      <c r="BB77" s="221">
        <f>(Assumptions!$K18/12)+(Assumptions!$K18/12)*Assumptions!$N$45</f>
        <v>133333.33333333334</v>
      </c>
      <c r="BC77" s="221">
        <f>(Assumptions!$K18/12)+(Assumptions!$K18/12)*Assumptions!$N$45</f>
        <v>133333.33333333334</v>
      </c>
      <c r="BD77" s="221">
        <f>(Assumptions!$K18/12)+(Assumptions!$K18/12)*Assumptions!$O$45</f>
        <v>191666.66666666669</v>
      </c>
      <c r="BE77" s="221">
        <f>(Assumptions!$K18/12)+(Assumptions!$K18/12)*Assumptions!$O$45</f>
        <v>191666.66666666669</v>
      </c>
      <c r="BF77" s="221">
        <f>(Assumptions!$K18/12)+(Assumptions!$K18/12)*Assumptions!$O$45</f>
        <v>191666.66666666669</v>
      </c>
      <c r="BG77" s="221">
        <f>(Assumptions!$K18/12)+(Assumptions!$K18/12)*Assumptions!$O$45</f>
        <v>191666.66666666669</v>
      </c>
      <c r="BH77" s="221">
        <f>(Assumptions!$K18/12)+(Assumptions!$K18/12)*Assumptions!$O$45</f>
        <v>191666.66666666669</v>
      </c>
      <c r="BI77" s="221">
        <f>(Assumptions!$K18/12)+(Assumptions!$K18/12)*Assumptions!$O$45</f>
        <v>191666.66666666669</v>
      </c>
      <c r="BJ77" s="221">
        <f>(Assumptions!$K18/12)+(Assumptions!$K18/12)*Assumptions!$O$45</f>
        <v>191666.66666666669</v>
      </c>
      <c r="BK77" s="221">
        <f>(Assumptions!$K18/12)+(Assumptions!$K18/12)*Assumptions!$O$45</f>
        <v>191666.66666666669</v>
      </c>
      <c r="BL77" s="221">
        <f>(Assumptions!$K18/12)+(Assumptions!$K18/12)*Assumptions!$O$45</f>
        <v>191666.66666666669</v>
      </c>
      <c r="BM77" s="221">
        <f>(Assumptions!$K18/12)+(Assumptions!$K18/12)*Assumptions!$O$45</f>
        <v>191666.66666666669</v>
      </c>
      <c r="BN77" s="221">
        <f>(Assumptions!$K18/12)+(Assumptions!$K18/12)*Assumptions!$O$45</f>
        <v>191666.66666666669</v>
      </c>
      <c r="BO77" s="221">
        <f>(Assumptions!$K18/12)+(Assumptions!$K18/12)*Assumptions!$O$45</f>
        <v>191666.66666666669</v>
      </c>
    </row>
    <row r="78" spans="1:67" x14ac:dyDescent="0.25">
      <c r="A78" s="220" t="str">
        <f>Assumptions!$J$19</f>
        <v>Laravel Developer</v>
      </c>
      <c r="B78" s="202" t="b">
        <f>(H78*12)=Assumptions!K19</f>
        <v>1</v>
      </c>
      <c r="D78" s="214"/>
      <c r="E78" s="214"/>
      <c r="F78" s="214"/>
      <c r="G78" s="214"/>
      <c r="H78" s="221">
        <f>(Assumptions!$K19/12)+(Assumptions!$K19/12)*Assumptions!$K$45</f>
        <v>9166.6666666666661</v>
      </c>
      <c r="I78" s="221">
        <f>(Assumptions!$K19/12)+(Assumptions!$K19/12)*Assumptions!$K$45</f>
        <v>9166.6666666666661</v>
      </c>
      <c r="J78" s="221">
        <f>(Assumptions!$K19/12)+(Assumptions!$K19/12)*Assumptions!$K$45</f>
        <v>9166.6666666666661</v>
      </c>
      <c r="K78" s="221">
        <f>(Assumptions!$K19/12)+(Assumptions!$K19/12)*Assumptions!$K$45</f>
        <v>9166.6666666666661</v>
      </c>
      <c r="L78" s="221">
        <f>(Assumptions!$K19/12)+(Assumptions!$K19/12)*Assumptions!$K$45</f>
        <v>9166.6666666666661</v>
      </c>
      <c r="M78" s="221">
        <f>(Assumptions!$K19/12)+(Assumptions!$K19/12)*Assumptions!$K$45</f>
        <v>9166.6666666666661</v>
      </c>
      <c r="N78" s="221">
        <f>(Assumptions!$K19/12)+(Assumptions!$K19/12)*Assumptions!$K$45</f>
        <v>9166.6666666666661</v>
      </c>
      <c r="O78" s="221">
        <f>(Assumptions!$K19/12)+(Assumptions!$K19/12)*Assumptions!$K$45</f>
        <v>9166.6666666666661</v>
      </c>
      <c r="P78" s="221">
        <f>(Assumptions!$K19/12)+(Assumptions!$K19/12)*Assumptions!$K$45</f>
        <v>9166.6666666666661</v>
      </c>
      <c r="Q78" s="221">
        <f>(Assumptions!$K19/12)+(Assumptions!$K19/12)*Assumptions!$K$45</f>
        <v>9166.6666666666661</v>
      </c>
      <c r="R78" s="221">
        <f>(Assumptions!$K19/12)+(Assumptions!$K19/12)*Assumptions!$K$45</f>
        <v>9166.6666666666661</v>
      </c>
      <c r="S78" s="221">
        <f>(Assumptions!$K19/12)+(Assumptions!$K19/12)*Assumptions!$K$45</f>
        <v>9166.6666666666661</v>
      </c>
      <c r="T78" s="221">
        <f>(Assumptions!$K19/12)+(Assumptions!$K19/12)*Assumptions!$L$45</f>
        <v>45833.333333333328</v>
      </c>
      <c r="U78" s="221">
        <f>(Assumptions!$K19/12)+(Assumptions!$K19/12)*Assumptions!$L$45</f>
        <v>45833.333333333328</v>
      </c>
      <c r="V78" s="221">
        <f>(Assumptions!$K19/12)+(Assumptions!$K19/12)*Assumptions!$L$45</f>
        <v>45833.333333333328</v>
      </c>
      <c r="W78" s="221">
        <f>(Assumptions!$K19/12)+(Assumptions!$K19/12)*Assumptions!$L$45</f>
        <v>45833.333333333328</v>
      </c>
      <c r="X78" s="221">
        <f>(Assumptions!$K19/12)+(Assumptions!$K19/12)*Assumptions!$L$45</f>
        <v>45833.333333333328</v>
      </c>
      <c r="Y78" s="221">
        <f>(Assumptions!$K19/12)+(Assumptions!$K19/12)*Assumptions!$L$45</f>
        <v>45833.333333333328</v>
      </c>
      <c r="Z78" s="221">
        <f>(Assumptions!$K19/12)+(Assumptions!$K19/12)*Assumptions!$L$45</f>
        <v>45833.333333333328</v>
      </c>
      <c r="AA78" s="221">
        <f>(Assumptions!$K19/12)+(Assumptions!$K19/12)*Assumptions!$L$45</f>
        <v>45833.333333333328</v>
      </c>
      <c r="AB78" s="221">
        <f>(Assumptions!$K19/12)+(Assumptions!$K19/12)*Assumptions!$L$45</f>
        <v>45833.333333333328</v>
      </c>
      <c r="AC78" s="221">
        <f>(Assumptions!$K19/12)+(Assumptions!$K19/12)*Assumptions!$L$45</f>
        <v>45833.333333333328</v>
      </c>
      <c r="AD78" s="221">
        <f>(Assumptions!$K19/12)+(Assumptions!$K19/12)*Assumptions!$L$45</f>
        <v>45833.333333333328</v>
      </c>
      <c r="AE78" s="221">
        <f>(Assumptions!$K19/12)+(Assumptions!$K19/12)*Assumptions!$L$45</f>
        <v>45833.333333333328</v>
      </c>
      <c r="AF78" s="221">
        <f>(Assumptions!$K19/12)+(Assumptions!$K19/12)*Assumptions!$M$45</f>
        <v>91666.666666666672</v>
      </c>
      <c r="AG78" s="221">
        <f>(Assumptions!$K19/12)+(Assumptions!$K19/12)*Assumptions!$M$45</f>
        <v>91666.666666666672</v>
      </c>
      <c r="AH78" s="221">
        <f>(Assumptions!$K19/12)+(Assumptions!$K19/12)*Assumptions!$M$45</f>
        <v>91666.666666666672</v>
      </c>
      <c r="AI78" s="221">
        <f>(Assumptions!$K19/12)+(Assumptions!$K19/12)*Assumptions!$M$45</f>
        <v>91666.666666666672</v>
      </c>
      <c r="AJ78" s="221">
        <f>(Assumptions!$K19/12)+(Assumptions!$K19/12)*Assumptions!$M$45</f>
        <v>91666.666666666672</v>
      </c>
      <c r="AK78" s="221">
        <f>(Assumptions!$K19/12)+(Assumptions!$K19/12)*Assumptions!$M$45</f>
        <v>91666.666666666672</v>
      </c>
      <c r="AL78" s="221">
        <f>(Assumptions!$K19/12)+(Assumptions!$K19/12)*Assumptions!$M$45</f>
        <v>91666.666666666672</v>
      </c>
      <c r="AM78" s="221">
        <f>(Assumptions!$K19/12)+(Assumptions!$K19/12)*Assumptions!$M$45</f>
        <v>91666.666666666672</v>
      </c>
      <c r="AN78" s="221">
        <f>(Assumptions!$K19/12)+(Assumptions!$K19/12)*Assumptions!$M$45</f>
        <v>91666.666666666672</v>
      </c>
      <c r="AO78" s="221">
        <f>(Assumptions!$K19/12)+(Assumptions!$K19/12)*Assumptions!$M$45</f>
        <v>91666.666666666672</v>
      </c>
      <c r="AP78" s="221">
        <f>(Assumptions!$K19/12)+(Assumptions!$K19/12)*Assumptions!$M$45</f>
        <v>91666.666666666672</v>
      </c>
      <c r="AQ78" s="221">
        <f>(Assumptions!$K19/12)+(Assumptions!$K19/12)*Assumptions!$M$45</f>
        <v>91666.666666666672</v>
      </c>
      <c r="AR78" s="221">
        <f>(Assumptions!$K19/12)+(Assumptions!$K19/12)*Assumptions!$N$45</f>
        <v>146666.66666666666</v>
      </c>
      <c r="AS78" s="221">
        <f>(Assumptions!$K19/12)+(Assumptions!$K19/12)*Assumptions!$N$45</f>
        <v>146666.66666666666</v>
      </c>
      <c r="AT78" s="221">
        <f>(Assumptions!$K19/12)+(Assumptions!$K19/12)*Assumptions!$N$45</f>
        <v>146666.66666666666</v>
      </c>
      <c r="AU78" s="221">
        <f>(Assumptions!$K19/12)+(Assumptions!$K19/12)*Assumptions!$N$45</f>
        <v>146666.66666666666</v>
      </c>
      <c r="AV78" s="221">
        <f>(Assumptions!$K19/12)+(Assumptions!$K19/12)*Assumptions!$N$45</f>
        <v>146666.66666666666</v>
      </c>
      <c r="AW78" s="221">
        <f>(Assumptions!$K19/12)+(Assumptions!$K19/12)*Assumptions!$N$45</f>
        <v>146666.66666666666</v>
      </c>
      <c r="AX78" s="221">
        <f>(Assumptions!$K19/12)+(Assumptions!$K19/12)*Assumptions!$N$45</f>
        <v>146666.66666666666</v>
      </c>
      <c r="AY78" s="221">
        <f>(Assumptions!$K19/12)+(Assumptions!$K19/12)*Assumptions!$N$45</f>
        <v>146666.66666666666</v>
      </c>
      <c r="AZ78" s="221">
        <f>(Assumptions!$K19/12)+(Assumptions!$K19/12)*Assumptions!$N$45</f>
        <v>146666.66666666666</v>
      </c>
      <c r="BA78" s="221">
        <f>(Assumptions!$K19/12)+(Assumptions!$K19/12)*Assumptions!$N$45</f>
        <v>146666.66666666666</v>
      </c>
      <c r="BB78" s="221">
        <f>(Assumptions!$K19/12)+(Assumptions!$K19/12)*Assumptions!$N$45</f>
        <v>146666.66666666666</v>
      </c>
      <c r="BC78" s="221">
        <f>(Assumptions!$K19/12)+(Assumptions!$K19/12)*Assumptions!$N$45</f>
        <v>146666.66666666666</v>
      </c>
      <c r="BD78" s="221">
        <f>(Assumptions!$K19/12)+(Assumptions!$K19/12)*Assumptions!$O$45</f>
        <v>210833.33333333331</v>
      </c>
      <c r="BE78" s="221">
        <f>(Assumptions!$K19/12)+(Assumptions!$K19/12)*Assumptions!$O$45</f>
        <v>210833.33333333331</v>
      </c>
      <c r="BF78" s="221">
        <f>(Assumptions!$K19/12)+(Assumptions!$K19/12)*Assumptions!$O$45</f>
        <v>210833.33333333331</v>
      </c>
      <c r="BG78" s="221">
        <f>(Assumptions!$K19/12)+(Assumptions!$K19/12)*Assumptions!$O$45</f>
        <v>210833.33333333331</v>
      </c>
      <c r="BH78" s="221">
        <f>(Assumptions!$K19/12)+(Assumptions!$K19/12)*Assumptions!$O$45</f>
        <v>210833.33333333331</v>
      </c>
      <c r="BI78" s="221">
        <f>(Assumptions!$K19/12)+(Assumptions!$K19/12)*Assumptions!$O$45</f>
        <v>210833.33333333331</v>
      </c>
      <c r="BJ78" s="221">
        <f>(Assumptions!$K19/12)+(Assumptions!$K19/12)*Assumptions!$O$45</f>
        <v>210833.33333333331</v>
      </c>
      <c r="BK78" s="221">
        <f>(Assumptions!$K19/12)+(Assumptions!$K19/12)*Assumptions!$O$45</f>
        <v>210833.33333333331</v>
      </c>
      <c r="BL78" s="221">
        <f>(Assumptions!$K19/12)+(Assumptions!$K19/12)*Assumptions!$O$45</f>
        <v>210833.33333333331</v>
      </c>
      <c r="BM78" s="221">
        <f>(Assumptions!$K19/12)+(Assumptions!$K19/12)*Assumptions!$O$45</f>
        <v>210833.33333333331</v>
      </c>
      <c r="BN78" s="221">
        <f>(Assumptions!$K19/12)+(Assumptions!$K19/12)*Assumptions!$O$45</f>
        <v>210833.33333333331</v>
      </c>
      <c r="BO78" s="221">
        <f>(Assumptions!$K19/12)+(Assumptions!$K19/12)*Assumptions!$O$45</f>
        <v>210833.33333333331</v>
      </c>
    </row>
    <row r="79" spans="1:67" s="25" customFormat="1" x14ac:dyDescent="0.25">
      <c r="A79" s="25" t="s">
        <v>243</v>
      </c>
      <c r="B79" s="202">
        <f>MAX(D79:AQ79)</f>
        <v>450000</v>
      </c>
      <c r="D79" s="25">
        <f>SUM(D74:D78)</f>
        <v>0</v>
      </c>
      <c r="E79" s="25">
        <f t="shared" ref="E79:BO79" si="23">SUM(E74:E78)</f>
        <v>0</v>
      </c>
      <c r="F79" s="25">
        <f t="shared" si="23"/>
        <v>0</v>
      </c>
      <c r="G79" s="25">
        <f t="shared" si="23"/>
        <v>0</v>
      </c>
      <c r="H79" s="25">
        <f t="shared" si="23"/>
        <v>45000</v>
      </c>
      <c r="I79" s="25">
        <f t="shared" si="23"/>
        <v>45000</v>
      </c>
      <c r="J79" s="25">
        <f t="shared" si="23"/>
        <v>45000</v>
      </c>
      <c r="K79" s="25">
        <f t="shared" si="23"/>
        <v>45000</v>
      </c>
      <c r="L79" s="25">
        <f t="shared" si="23"/>
        <v>45000</v>
      </c>
      <c r="M79" s="25">
        <f t="shared" si="23"/>
        <v>45000</v>
      </c>
      <c r="N79" s="25">
        <f t="shared" si="23"/>
        <v>45000</v>
      </c>
      <c r="O79" s="25">
        <f t="shared" si="23"/>
        <v>45000</v>
      </c>
      <c r="P79" s="25">
        <f t="shared" si="23"/>
        <v>45000</v>
      </c>
      <c r="Q79" s="25">
        <f t="shared" si="23"/>
        <v>45000</v>
      </c>
      <c r="R79" s="25">
        <f t="shared" si="23"/>
        <v>45000</v>
      </c>
      <c r="S79" s="25">
        <f t="shared" si="23"/>
        <v>45000</v>
      </c>
      <c r="T79" s="25">
        <f t="shared" si="23"/>
        <v>225000</v>
      </c>
      <c r="U79" s="25">
        <f t="shared" si="23"/>
        <v>225000</v>
      </c>
      <c r="V79" s="25">
        <f t="shared" si="23"/>
        <v>225000</v>
      </c>
      <c r="W79" s="25">
        <f t="shared" si="23"/>
        <v>225000</v>
      </c>
      <c r="X79" s="25">
        <f t="shared" si="23"/>
        <v>225000</v>
      </c>
      <c r="Y79" s="25">
        <f t="shared" si="23"/>
        <v>225000</v>
      </c>
      <c r="Z79" s="25">
        <f t="shared" si="23"/>
        <v>225000</v>
      </c>
      <c r="AA79" s="25">
        <f t="shared" si="23"/>
        <v>225000</v>
      </c>
      <c r="AB79" s="25">
        <f t="shared" si="23"/>
        <v>225000</v>
      </c>
      <c r="AC79" s="25">
        <f t="shared" si="23"/>
        <v>225000</v>
      </c>
      <c r="AD79" s="25">
        <f t="shared" si="23"/>
        <v>225000</v>
      </c>
      <c r="AE79" s="25">
        <f t="shared" si="23"/>
        <v>225000</v>
      </c>
      <c r="AF79" s="25">
        <f t="shared" si="23"/>
        <v>450000</v>
      </c>
      <c r="AG79" s="25">
        <f t="shared" si="23"/>
        <v>450000</v>
      </c>
      <c r="AH79" s="25">
        <f t="shared" si="23"/>
        <v>450000</v>
      </c>
      <c r="AI79" s="25">
        <f t="shared" si="23"/>
        <v>450000</v>
      </c>
      <c r="AJ79" s="25">
        <f t="shared" si="23"/>
        <v>450000</v>
      </c>
      <c r="AK79" s="25">
        <f t="shared" si="23"/>
        <v>450000</v>
      </c>
      <c r="AL79" s="25">
        <f t="shared" si="23"/>
        <v>450000</v>
      </c>
      <c r="AM79" s="25">
        <f t="shared" si="23"/>
        <v>450000</v>
      </c>
      <c r="AN79" s="25">
        <f t="shared" si="23"/>
        <v>450000</v>
      </c>
      <c r="AO79" s="25">
        <f t="shared" si="23"/>
        <v>450000</v>
      </c>
      <c r="AP79" s="25">
        <f t="shared" si="23"/>
        <v>450000</v>
      </c>
      <c r="AQ79" s="25">
        <f t="shared" si="23"/>
        <v>450000</v>
      </c>
      <c r="AR79" s="25">
        <f t="shared" si="23"/>
        <v>720000</v>
      </c>
      <c r="AS79" s="25">
        <f t="shared" si="23"/>
        <v>720000</v>
      </c>
      <c r="AT79" s="25">
        <f t="shared" si="23"/>
        <v>720000</v>
      </c>
      <c r="AU79" s="25">
        <f t="shared" si="23"/>
        <v>720000</v>
      </c>
      <c r="AV79" s="25">
        <f t="shared" si="23"/>
        <v>720000</v>
      </c>
      <c r="AW79" s="25">
        <f t="shared" si="23"/>
        <v>720000</v>
      </c>
      <c r="AX79" s="25">
        <f t="shared" si="23"/>
        <v>720000</v>
      </c>
      <c r="AY79" s="25">
        <f t="shared" si="23"/>
        <v>720000</v>
      </c>
      <c r="AZ79" s="25">
        <f t="shared" si="23"/>
        <v>720000</v>
      </c>
      <c r="BA79" s="25">
        <f t="shared" si="23"/>
        <v>720000</v>
      </c>
      <c r="BB79" s="25">
        <f t="shared" si="23"/>
        <v>720000</v>
      </c>
      <c r="BC79" s="25">
        <f t="shared" si="23"/>
        <v>720000</v>
      </c>
      <c r="BD79" s="25">
        <f t="shared" si="23"/>
        <v>1035000</v>
      </c>
      <c r="BE79" s="25">
        <f t="shared" si="23"/>
        <v>1035000</v>
      </c>
      <c r="BF79" s="25">
        <f t="shared" si="23"/>
        <v>1035000</v>
      </c>
      <c r="BG79" s="25">
        <f t="shared" si="23"/>
        <v>1035000</v>
      </c>
      <c r="BH79" s="25">
        <f t="shared" si="23"/>
        <v>1035000</v>
      </c>
      <c r="BI79" s="25">
        <f t="shared" si="23"/>
        <v>1035000</v>
      </c>
      <c r="BJ79" s="25">
        <f t="shared" si="23"/>
        <v>1035000</v>
      </c>
      <c r="BK79" s="25">
        <f t="shared" si="23"/>
        <v>1035000</v>
      </c>
      <c r="BL79" s="25">
        <f t="shared" si="23"/>
        <v>1035000</v>
      </c>
      <c r="BM79" s="25">
        <f t="shared" si="23"/>
        <v>1035000</v>
      </c>
      <c r="BN79" s="25">
        <f t="shared" si="23"/>
        <v>1035000</v>
      </c>
      <c r="BO79" s="25">
        <f t="shared" si="23"/>
        <v>1035000</v>
      </c>
    </row>
    <row r="80" spans="1:67" x14ac:dyDescent="0.25">
      <c r="A80" s="213"/>
      <c r="B80" s="202"/>
    </row>
    <row r="81" spans="1:67" x14ac:dyDescent="0.25">
      <c r="A81" s="197" t="s">
        <v>244</v>
      </c>
      <c r="B81" s="202"/>
      <c r="D81" s="214"/>
    </row>
    <row r="82" spans="1:67" x14ac:dyDescent="0.25">
      <c r="A82" s="220" t="str">
        <f>Assumptions!$J$22</f>
        <v>Rahul - iOS Developer</v>
      </c>
      <c r="B82" s="202" t="b">
        <f>(H82*12)=Assumptions!K22</f>
        <v>1</v>
      </c>
      <c r="D82" s="214"/>
      <c r="E82" s="214"/>
      <c r="F82" s="214"/>
      <c r="G82" s="214"/>
      <c r="H82" s="221">
        <f>(Assumptions!$K22/12)+(Assumptions!$K22/12)*Assumptions!$K$45</f>
        <v>5000</v>
      </c>
      <c r="I82" s="221">
        <f>(Assumptions!$K22/12)+(Assumptions!$K22/12)*Assumptions!$K$45</f>
        <v>5000</v>
      </c>
      <c r="J82" s="221">
        <f>(Assumptions!$K22/12)+(Assumptions!$K22/12)*Assumptions!$K$45</f>
        <v>5000</v>
      </c>
      <c r="K82" s="221">
        <f>(Assumptions!$K22/12)+(Assumptions!$K22/12)*Assumptions!$K$45</f>
        <v>5000</v>
      </c>
      <c r="L82" s="221">
        <f>(Assumptions!$K22/12)+(Assumptions!$K22/12)*Assumptions!$K$45</f>
        <v>5000</v>
      </c>
      <c r="M82" s="221">
        <f>(Assumptions!$K22/12)+(Assumptions!$K22/12)*Assumptions!$K$45</f>
        <v>5000</v>
      </c>
      <c r="N82" s="221">
        <f>(Assumptions!$K22/12)+(Assumptions!$K22/12)*Assumptions!$K$45</f>
        <v>5000</v>
      </c>
      <c r="O82" s="221">
        <f>(Assumptions!$K22/12)+(Assumptions!$K22/12)*Assumptions!$K$45</f>
        <v>5000</v>
      </c>
      <c r="P82" s="221">
        <f>(Assumptions!$K22/12)+(Assumptions!$K22/12)*Assumptions!$K$45</f>
        <v>5000</v>
      </c>
      <c r="Q82" s="221">
        <f>(Assumptions!$K22/12)+(Assumptions!$K22/12)*Assumptions!$K$45</f>
        <v>5000</v>
      </c>
      <c r="R82" s="221">
        <f>(Assumptions!$K22/12)+(Assumptions!$K22/12)*Assumptions!$K$45</f>
        <v>5000</v>
      </c>
      <c r="S82" s="221">
        <f>(Assumptions!$K22/12)+(Assumptions!$K22/12)*Assumptions!$K$45</f>
        <v>5000</v>
      </c>
      <c r="T82" s="221">
        <f>(Assumptions!$K22/12)+(Assumptions!$K22/12)*Assumptions!$L$45</f>
        <v>25000</v>
      </c>
      <c r="U82" s="221">
        <f>(Assumptions!$K22/12)+(Assumptions!$K22/12)*Assumptions!$L$45</f>
        <v>25000</v>
      </c>
      <c r="V82" s="221">
        <f>(Assumptions!$K22/12)+(Assumptions!$K22/12)*Assumptions!$L$45</f>
        <v>25000</v>
      </c>
      <c r="W82" s="221">
        <f>(Assumptions!$K22/12)+(Assumptions!$K22/12)*Assumptions!$L$45</f>
        <v>25000</v>
      </c>
      <c r="X82" s="221">
        <f>(Assumptions!$K22/12)+(Assumptions!$K22/12)*Assumptions!$L$45</f>
        <v>25000</v>
      </c>
      <c r="Y82" s="221">
        <f>(Assumptions!$K22/12)+(Assumptions!$K22/12)*Assumptions!$L$45</f>
        <v>25000</v>
      </c>
      <c r="Z82" s="221">
        <f>(Assumptions!$K22/12)+(Assumptions!$K22/12)*Assumptions!$L$45</f>
        <v>25000</v>
      </c>
      <c r="AA82" s="221">
        <f>(Assumptions!$K22/12)+(Assumptions!$K22/12)*Assumptions!$L$45</f>
        <v>25000</v>
      </c>
      <c r="AB82" s="221">
        <f>(Assumptions!$K22/12)+(Assumptions!$K22/12)*Assumptions!$L$45</f>
        <v>25000</v>
      </c>
      <c r="AC82" s="221">
        <f>(Assumptions!$K22/12)+(Assumptions!$K22/12)*Assumptions!$L$45</f>
        <v>25000</v>
      </c>
      <c r="AD82" s="221">
        <f>(Assumptions!$K22/12)+(Assumptions!$K22/12)*Assumptions!$L$45</f>
        <v>25000</v>
      </c>
      <c r="AE82" s="221">
        <f>(Assumptions!$K22/12)+(Assumptions!$K22/12)*Assumptions!$L$45</f>
        <v>25000</v>
      </c>
      <c r="AF82" s="221">
        <f>(Assumptions!$K22/12)+(Assumptions!$K22/12)*Assumptions!$M$45</f>
        <v>50000</v>
      </c>
      <c r="AG82" s="221">
        <f>(Assumptions!$K22/12)+(Assumptions!$K22/12)*Assumptions!$M$45</f>
        <v>50000</v>
      </c>
      <c r="AH82" s="221">
        <f>(Assumptions!$K22/12)+(Assumptions!$K22/12)*Assumptions!$M$45</f>
        <v>50000</v>
      </c>
      <c r="AI82" s="221">
        <f>(Assumptions!$K22/12)+(Assumptions!$K22/12)*Assumptions!$M$45</f>
        <v>50000</v>
      </c>
      <c r="AJ82" s="221">
        <f>(Assumptions!$K22/12)+(Assumptions!$K22/12)*Assumptions!$M$45</f>
        <v>50000</v>
      </c>
      <c r="AK82" s="221">
        <f>(Assumptions!$K22/12)+(Assumptions!$K22/12)*Assumptions!$M$45</f>
        <v>50000</v>
      </c>
      <c r="AL82" s="221">
        <f>(Assumptions!$K22/12)+(Assumptions!$K22/12)*Assumptions!$M$45</f>
        <v>50000</v>
      </c>
      <c r="AM82" s="221">
        <f>(Assumptions!$K22/12)+(Assumptions!$K22/12)*Assumptions!$M$45</f>
        <v>50000</v>
      </c>
      <c r="AN82" s="221">
        <f>(Assumptions!$K22/12)+(Assumptions!$K22/12)*Assumptions!$M$45</f>
        <v>50000</v>
      </c>
      <c r="AO82" s="221">
        <f>(Assumptions!$K22/12)+(Assumptions!$K22/12)*Assumptions!$M$45</f>
        <v>50000</v>
      </c>
      <c r="AP82" s="221">
        <f>(Assumptions!$K22/12)+(Assumptions!$K22/12)*Assumptions!$M$45</f>
        <v>50000</v>
      </c>
      <c r="AQ82" s="221">
        <f>(Assumptions!$K22/12)+(Assumptions!$K22/12)*Assumptions!$M$45</f>
        <v>50000</v>
      </c>
      <c r="AR82" s="221">
        <f>(Assumptions!$K22/12)+(Assumptions!$K22/12)*Assumptions!$N$45</f>
        <v>80000</v>
      </c>
      <c r="AS82" s="221">
        <f>(Assumptions!$K22/12)+(Assumptions!$K22/12)*Assumptions!$N$45</f>
        <v>80000</v>
      </c>
      <c r="AT82" s="221">
        <f>(Assumptions!$K22/12)+(Assumptions!$K22/12)*Assumptions!$N$45</f>
        <v>80000</v>
      </c>
      <c r="AU82" s="221">
        <f>(Assumptions!$K22/12)+(Assumptions!$K22/12)*Assumptions!$N$45</f>
        <v>80000</v>
      </c>
      <c r="AV82" s="221">
        <f>(Assumptions!$K22/12)+(Assumptions!$K22/12)*Assumptions!$N$45</f>
        <v>80000</v>
      </c>
      <c r="AW82" s="221">
        <f>(Assumptions!$K22/12)+(Assumptions!$K22/12)*Assumptions!$N$45</f>
        <v>80000</v>
      </c>
      <c r="AX82" s="221">
        <f>(Assumptions!$K22/12)+(Assumptions!$K22/12)*Assumptions!$N$45</f>
        <v>80000</v>
      </c>
      <c r="AY82" s="221">
        <f>(Assumptions!$K22/12)+(Assumptions!$K22/12)*Assumptions!$N$45</f>
        <v>80000</v>
      </c>
      <c r="AZ82" s="221">
        <f>(Assumptions!$K22/12)+(Assumptions!$K22/12)*Assumptions!$N$45</f>
        <v>80000</v>
      </c>
      <c r="BA82" s="221">
        <f>(Assumptions!$K22/12)+(Assumptions!$K22/12)*Assumptions!$N$45</f>
        <v>80000</v>
      </c>
      <c r="BB82" s="221">
        <f>(Assumptions!$K22/12)+(Assumptions!$K22/12)*Assumptions!$N$45</f>
        <v>80000</v>
      </c>
      <c r="BC82" s="221">
        <f>(Assumptions!$K22/12)+(Assumptions!$K22/12)*Assumptions!$N$45</f>
        <v>80000</v>
      </c>
      <c r="BD82" s="221">
        <f>(Assumptions!$K22/12)+(Assumptions!$K22/12)*Assumptions!$O$45</f>
        <v>115000</v>
      </c>
      <c r="BE82" s="221">
        <f>(Assumptions!$K22/12)+(Assumptions!$K22/12)*Assumptions!$O$45</f>
        <v>115000</v>
      </c>
      <c r="BF82" s="221">
        <f>(Assumptions!$K22/12)+(Assumptions!$K22/12)*Assumptions!$O$45</f>
        <v>115000</v>
      </c>
      <c r="BG82" s="221">
        <f>(Assumptions!$K22/12)+(Assumptions!$K22/12)*Assumptions!$O$45</f>
        <v>115000</v>
      </c>
      <c r="BH82" s="221">
        <f>(Assumptions!$K22/12)+(Assumptions!$K22/12)*Assumptions!$O$45</f>
        <v>115000</v>
      </c>
      <c r="BI82" s="221">
        <f>(Assumptions!$K22/12)+(Assumptions!$K22/12)*Assumptions!$O$45</f>
        <v>115000</v>
      </c>
      <c r="BJ82" s="221">
        <f>(Assumptions!$K22/12)+(Assumptions!$K22/12)*Assumptions!$O$45</f>
        <v>115000</v>
      </c>
      <c r="BK82" s="221">
        <f>(Assumptions!$K22/12)+(Assumptions!$K22/12)*Assumptions!$O$45</f>
        <v>115000</v>
      </c>
      <c r="BL82" s="221">
        <f>(Assumptions!$K22/12)+(Assumptions!$K22/12)*Assumptions!$O$45</f>
        <v>115000</v>
      </c>
      <c r="BM82" s="221">
        <f>(Assumptions!$K22/12)+(Assumptions!$K22/12)*Assumptions!$O$45</f>
        <v>115000</v>
      </c>
      <c r="BN82" s="221">
        <f>(Assumptions!$K22/12)+(Assumptions!$K22/12)*Assumptions!$O$45</f>
        <v>115000</v>
      </c>
      <c r="BO82" s="221">
        <f>(Assumptions!$K22/12)+(Assumptions!$K22/12)*Assumptions!$O$45</f>
        <v>115000</v>
      </c>
    </row>
    <row r="83" spans="1:67" x14ac:dyDescent="0.25">
      <c r="A83" s="220" t="str">
        <f>Assumptions!$J$23</f>
        <v>Developers</v>
      </c>
      <c r="B83" s="202" t="b">
        <f>(H83*12)=Assumptions!K23</f>
        <v>1</v>
      </c>
      <c r="D83" s="214"/>
      <c r="E83" s="214"/>
      <c r="F83" s="214"/>
      <c r="G83" s="214"/>
      <c r="H83" s="221">
        <f>(Assumptions!$K23/12)+(Assumptions!$K23/12)*Assumptions!$K$45</f>
        <v>5000</v>
      </c>
      <c r="I83" s="221">
        <f>(Assumptions!$K23/12)+(Assumptions!$K23/12)*Assumptions!$K$45</f>
        <v>5000</v>
      </c>
      <c r="J83" s="221">
        <f>(Assumptions!$K23/12)+(Assumptions!$K23/12)*Assumptions!$K$45</f>
        <v>5000</v>
      </c>
      <c r="K83" s="221">
        <f>(Assumptions!$K23/12)+(Assumptions!$K23/12)*Assumptions!$K$45</f>
        <v>5000</v>
      </c>
      <c r="L83" s="221">
        <f>(Assumptions!$K23/12)+(Assumptions!$K23/12)*Assumptions!$K$45</f>
        <v>5000</v>
      </c>
      <c r="M83" s="221">
        <f>(Assumptions!$K23/12)+(Assumptions!$K23/12)*Assumptions!$K$45</f>
        <v>5000</v>
      </c>
      <c r="N83" s="221">
        <f>(Assumptions!$K23/12)+(Assumptions!$K23/12)*Assumptions!$K$45</f>
        <v>5000</v>
      </c>
      <c r="O83" s="221">
        <f>(Assumptions!$K23/12)+(Assumptions!$K23/12)*Assumptions!$K$45</f>
        <v>5000</v>
      </c>
      <c r="P83" s="221">
        <f>(Assumptions!$K23/12)+(Assumptions!$K23/12)*Assumptions!$K$45</f>
        <v>5000</v>
      </c>
      <c r="Q83" s="221">
        <f>(Assumptions!$K23/12)+(Assumptions!$K23/12)*Assumptions!$K$45</f>
        <v>5000</v>
      </c>
      <c r="R83" s="221">
        <f>(Assumptions!$K23/12)+(Assumptions!$K23/12)*Assumptions!$K$45</f>
        <v>5000</v>
      </c>
      <c r="S83" s="221">
        <f>(Assumptions!$K23/12)+(Assumptions!$K23/12)*Assumptions!$K$45</f>
        <v>5000</v>
      </c>
      <c r="T83" s="221">
        <f>(Assumptions!$K23/12)+(Assumptions!$K23/12)*Assumptions!$L$45</f>
        <v>25000</v>
      </c>
      <c r="U83" s="221">
        <f>(Assumptions!$K23/12)+(Assumptions!$K23/12)*Assumptions!$L$45</f>
        <v>25000</v>
      </c>
      <c r="V83" s="221">
        <f>(Assumptions!$K23/12)+(Assumptions!$K23/12)*Assumptions!$L$45</f>
        <v>25000</v>
      </c>
      <c r="W83" s="221">
        <f>(Assumptions!$K23/12)+(Assumptions!$K23/12)*Assumptions!$L$45</f>
        <v>25000</v>
      </c>
      <c r="X83" s="221">
        <f>(Assumptions!$K23/12)+(Assumptions!$K23/12)*Assumptions!$L$45</f>
        <v>25000</v>
      </c>
      <c r="Y83" s="221">
        <f>(Assumptions!$K23/12)+(Assumptions!$K23/12)*Assumptions!$L$45</f>
        <v>25000</v>
      </c>
      <c r="Z83" s="221">
        <f>(Assumptions!$K23/12)+(Assumptions!$K23/12)*Assumptions!$L$45</f>
        <v>25000</v>
      </c>
      <c r="AA83" s="221">
        <f>(Assumptions!$K23/12)+(Assumptions!$K23/12)*Assumptions!$L$45</f>
        <v>25000</v>
      </c>
      <c r="AB83" s="221">
        <f>(Assumptions!$K23/12)+(Assumptions!$K23/12)*Assumptions!$L$45</f>
        <v>25000</v>
      </c>
      <c r="AC83" s="221">
        <f>(Assumptions!$K23/12)+(Assumptions!$K23/12)*Assumptions!$L$45</f>
        <v>25000</v>
      </c>
      <c r="AD83" s="221">
        <f>(Assumptions!$K23/12)+(Assumptions!$K23/12)*Assumptions!$L$45</f>
        <v>25000</v>
      </c>
      <c r="AE83" s="221">
        <f>(Assumptions!$K23/12)+(Assumptions!$K23/12)*Assumptions!$L$45</f>
        <v>25000</v>
      </c>
      <c r="AF83" s="221">
        <f>(Assumptions!$K23/12)+(Assumptions!$K23/12)*Assumptions!$M$45</f>
        <v>50000</v>
      </c>
      <c r="AG83" s="221">
        <f>(Assumptions!$K23/12)+(Assumptions!$K23/12)*Assumptions!$M$45</f>
        <v>50000</v>
      </c>
      <c r="AH83" s="221">
        <f>(Assumptions!$K23/12)+(Assumptions!$K23/12)*Assumptions!$M$45</f>
        <v>50000</v>
      </c>
      <c r="AI83" s="221">
        <f>(Assumptions!$K23/12)+(Assumptions!$K23/12)*Assumptions!$M$45</f>
        <v>50000</v>
      </c>
      <c r="AJ83" s="221">
        <f>(Assumptions!$K23/12)+(Assumptions!$K23/12)*Assumptions!$M$45</f>
        <v>50000</v>
      </c>
      <c r="AK83" s="221">
        <f>(Assumptions!$K23/12)+(Assumptions!$K23/12)*Assumptions!$M$45</f>
        <v>50000</v>
      </c>
      <c r="AL83" s="221">
        <f>(Assumptions!$K23/12)+(Assumptions!$K23/12)*Assumptions!$M$45</f>
        <v>50000</v>
      </c>
      <c r="AM83" s="221">
        <f>(Assumptions!$K23/12)+(Assumptions!$K23/12)*Assumptions!$M$45</f>
        <v>50000</v>
      </c>
      <c r="AN83" s="221">
        <f>(Assumptions!$K23/12)+(Assumptions!$K23/12)*Assumptions!$M$45</f>
        <v>50000</v>
      </c>
      <c r="AO83" s="221">
        <f>(Assumptions!$K23/12)+(Assumptions!$K23/12)*Assumptions!$M$45</f>
        <v>50000</v>
      </c>
      <c r="AP83" s="221">
        <f>(Assumptions!$K23/12)+(Assumptions!$K23/12)*Assumptions!$M$45</f>
        <v>50000</v>
      </c>
      <c r="AQ83" s="221">
        <f>(Assumptions!$K23/12)+(Assumptions!$K23/12)*Assumptions!$M$45</f>
        <v>50000</v>
      </c>
      <c r="AR83" s="221">
        <f>(Assumptions!$K23/12)+(Assumptions!$K23/12)*Assumptions!$N$45</f>
        <v>80000</v>
      </c>
      <c r="AS83" s="221">
        <f>(Assumptions!$K23/12)+(Assumptions!$K23/12)*Assumptions!$N$45</f>
        <v>80000</v>
      </c>
      <c r="AT83" s="221">
        <f>(Assumptions!$K23/12)+(Assumptions!$K23/12)*Assumptions!$N$45</f>
        <v>80000</v>
      </c>
      <c r="AU83" s="221">
        <f>(Assumptions!$K23/12)+(Assumptions!$K23/12)*Assumptions!$N$45</f>
        <v>80000</v>
      </c>
      <c r="AV83" s="221">
        <f>(Assumptions!$K23/12)+(Assumptions!$K23/12)*Assumptions!$N$45</f>
        <v>80000</v>
      </c>
      <c r="AW83" s="221">
        <f>(Assumptions!$K23/12)+(Assumptions!$K23/12)*Assumptions!$N$45</f>
        <v>80000</v>
      </c>
      <c r="AX83" s="221">
        <f>(Assumptions!$K23/12)+(Assumptions!$K23/12)*Assumptions!$N$45</f>
        <v>80000</v>
      </c>
      <c r="AY83" s="221">
        <f>(Assumptions!$K23/12)+(Assumptions!$K23/12)*Assumptions!$N$45</f>
        <v>80000</v>
      </c>
      <c r="AZ83" s="221">
        <f>(Assumptions!$K23/12)+(Assumptions!$K23/12)*Assumptions!$N$45</f>
        <v>80000</v>
      </c>
      <c r="BA83" s="221">
        <f>(Assumptions!$K23/12)+(Assumptions!$K23/12)*Assumptions!$N$45</f>
        <v>80000</v>
      </c>
      <c r="BB83" s="221">
        <f>(Assumptions!$K23/12)+(Assumptions!$K23/12)*Assumptions!$N$45</f>
        <v>80000</v>
      </c>
      <c r="BC83" s="221">
        <f>(Assumptions!$K23/12)+(Assumptions!$K23/12)*Assumptions!$N$45</f>
        <v>80000</v>
      </c>
      <c r="BD83" s="221">
        <f>(Assumptions!$K23/12)+(Assumptions!$K23/12)*Assumptions!$O$45</f>
        <v>115000</v>
      </c>
      <c r="BE83" s="221">
        <f>(Assumptions!$K23/12)+(Assumptions!$K23/12)*Assumptions!$O$45</f>
        <v>115000</v>
      </c>
      <c r="BF83" s="221">
        <f>(Assumptions!$K23/12)+(Assumptions!$K23/12)*Assumptions!$O$45</f>
        <v>115000</v>
      </c>
      <c r="BG83" s="221">
        <f>(Assumptions!$K23/12)+(Assumptions!$K23/12)*Assumptions!$O$45</f>
        <v>115000</v>
      </c>
      <c r="BH83" s="221">
        <f>(Assumptions!$K23/12)+(Assumptions!$K23/12)*Assumptions!$O$45</f>
        <v>115000</v>
      </c>
      <c r="BI83" s="221">
        <f>(Assumptions!$K23/12)+(Assumptions!$K23/12)*Assumptions!$O$45</f>
        <v>115000</v>
      </c>
      <c r="BJ83" s="221">
        <f>(Assumptions!$K23/12)+(Assumptions!$K23/12)*Assumptions!$O$45</f>
        <v>115000</v>
      </c>
      <c r="BK83" s="221">
        <f>(Assumptions!$K23/12)+(Assumptions!$K23/12)*Assumptions!$O$45</f>
        <v>115000</v>
      </c>
      <c r="BL83" s="221">
        <f>(Assumptions!$K23/12)+(Assumptions!$K23/12)*Assumptions!$O$45</f>
        <v>115000</v>
      </c>
      <c r="BM83" s="221">
        <f>(Assumptions!$K23/12)+(Assumptions!$K23/12)*Assumptions!$O$45</f>
        <v>115000</v>
      </c>
      <c r="BN83" s="221">
        <f>(Assumptions!$K23/12)+(Assumptions!$K23/12)*Assumptions!$O$45</f>
        <v>115000</v>
      </c>
      <c r="BO83" s="221">
        <f>(Assumptions!$K23/12)+(Assumptions!$K23/12)*Assumptions!$O$45</f>
        <v>115000</v>
      </c>
    </row>
    <row r="84" spans="1:67" s="25" customFormat="1" x14ac:dyDescent="0.25">
      <c r="A84" s="25" t="s">
        <v>243</v>
      </c>
      <c r="B84" s="202">
        <f>MAX(D84:AQ84)</f>
        <v>100000</v>
      </c>
      <c r="D84" s="25">
        <f>SUM(D82:D83)</f>
        <v>0</v>
      </c>
      <c r="E84" s="25">
        <f t="shared" ref="E84:BO84" si="24">SUM(E82:E83)</f>
        <v>0</v>
      </c>
      <c r="F84" s="25">
        <f t="shared" si="24"/>
        <v>0</v>
      </c>
      <c r="G84" s="25">
        <f t="shared" si="24"/>
        <v>0</v>
      </c>
      <c r="H84" s="25">
        <f t="shared" si="24"/>
        <v>10000</v>
      </c>
      <c r="I84" s="25">
        <f t="shared" si="24"/>
        <v>10000</v>
      </c>
      <c r="J84" s="25">
        <f t="shared" si="24"/>
        <v>10000</v>
      </c>
      <c r="K84" s="25">
        <f t="shared" si="24"/>
        <v>10000</v>
      </c>
      <c r="L84" s="25">
        <f t="shared" si="24"/>
        <v>10000</v>
      </c>
      <c r="M84" s="25">
        <f t="shared" si="24"/>
        <v>10000</v>
      </c>
      <c r="N84" s="25">
        <f t="shared" si="24"/>
        <v>10000</v>
      </c>
      <c r="O84" s="25">
        <f t="shared" si="24"/>
        <v>10000</v>
      </c>
      <c r="P84" s="25">
        <f t="shared" si="24"/>
        <v>10000</v>
      </c>
      <c r="Q84" s="25">
        <f t="shared" si="24"/>
        <v>10000</v>
      </c>
      <c r="R84" s="25">
        <f t="shared" si="24"/>
        <v>10000</v>
      </c>
      <c r="S84" s="25">
        <f t="shared" si="24"/>
        <v>10000</v>
      </c>
      <c r="T84" s="25">
        <f t="shared" si="24"/>
        <v>50000</v>
      </c>
      <c r="U84" s="25">
        <f t="shared" si="24"/>
        <v>50000</v>
      </c>
      <c r="V84" s="25">
        <f t="shared" si="24"/>
        <v>50000</v>
      </c>
      <c r="W84" s="25">
        <f t="shared" si="24"/>
        <v>50000</v>
      </c>
      <c r="X84" s="25">
        <f t="shared" si="24"/>
        <v>50000</v>
      </c>
      <c r="Y84" s="25">
        <f t="shared" si="24"/>
        <v>50000</v>
      </c>
      <c r="Z84" s="25">
        <f t="shared" si="24"/>
        <v>50000</v>
      </c>
      <c r="AA84" s="25">
        <f t="shared" si="24"/>
        <v>50000</v>
      </c>
      <c r="AB84" s="25">
        <f t="shared" si="24"/>
        <v>50000</v>
      </c>
      <c r="AC84" s="25">
        <f t="shared" si="24"/>
        <v>50000</v>
      </c>
      <c r="AD84" s="25">
        <f t="shared" si="24"/>
        <v>50000</v>
      </c>
      <c r="AE84" s="25">
        <f t="shared" si="24"/>
        <v>50000</v>
      </c>
      <c r="AF84" s="25">
        <f t="shared" si="24"/>
        <v>100000</v>
      </c>
      <c r="AG84" s="25">
        <f t="shared" si="24"/>
        <v>100000</v>
      </c>
      <c r="AH84" s="25">
        <f t="shared" si="24"/>
        <v>100000</v>
      </c>
      <c r="AI84" s="25">
        <f t="shared" si="24"/>
        <v>100000</v>
      </c>
      <c r="AJ84" s="25">
        <f t="shared" si="24"/>
        <v>100000</v>
      </c>
      <c r="AK84" s="25">
        <f t="shared" si="24"/>
        <v>100000</v>
      </c>
      <c r="AL84" s="25">
        <f t="shared" si="24"/>
        <v>100000</v>
      </c>
      <c r="AM84" s="25">
        <f t="shared" si="24"/>
        <v>100000</v>
      </c>
      <c r="AN84" s="25">
        <f t="shared" si="24"/>
        <v>100000</v>
      </c>
      <c r="AO84" s="25">
        <f t="shared" si="24"/>
        <v>100000</v>
      </c>
      <c r="AP84" s="25">
        <f t="shared" si="24"/>
        <v>100000</v>
      </c>
      <c r="AQ84" s="25">
        <f t="shared" si="24"/>
        <v>100000</v>
      </c>
      <c r="AR84" s="25">
        <f t="shared" si="24"/>
        <v>160000</v>
      </c>
      <c r="AS84" s="25">
        <f t="shared" si="24"/>
        <v>160000</v>
      </c>
      <c r="AT84" s="25">
        <f t="shared" si="24"/>
        <v>160000</v>
      </c>
      <c r="AU84" s="25">
        <f t="shared" si="24"/>
        <v>160000</v>
      </c>
      <c r="AV84" s="25">
        <f t="shared" si="24"/>
        <v>160000</v>
      </c>
      <c r="AW84" s="25">
        <f t="shared" si="24"/>
        <v>160000</v>
      </c>
      <c r="AX84" s="25">
        <f t="shared" si="24"/>
        <v>160000</v>
      </c>
      <c r="AY84" s="25">
        <f t="shared" si="24"/>
        <v>160000</v>
      </c>
      <c r="AZ84" s="25">
        <f t="shared" si="24"/>
        <v>160000</v>
      </c>
      <c r="BA84" s="25">
        <f t="shared" si="24"/>
        <v>160000</v>
      </c>
      <c r="BB84" s="25">
        <f t="shared" si="24"/>
        <v>160000</v>
      </c>
      <c r="BC84" s="25">
        <f t="shared" si="24"/>
        <v>160000</v>
      </c>
      <c r="BD84" s="25">
        <f t="shared" si="24"/>
        <v>230000</v>
      </c>
      <c r="BE84" s="25">
        <f t="shared" si="24"/>
        <v>230000</v>
      </c>
      <c r="BF84" s="25">
        <f t="shared" si="24"/>
        <v>230000</v>
      </c>
      <c r="BG84" s="25">
        <f t="shared" si="24"/>
        <v>230000</v>
      </c>
      <c r="BH84" s="25">
        <f t="shared" si="24"/>
        <v>230000</v>
      </c>
      <c r="BI84" s="25">
        <f t="shared" si="24"/>
        <v>230000</v>
      </c>
      <c r="BJ84" s="25">
        <f t="shared" si="24"/>
        <v>230000</v>
      </c>
      <c r="BK84" s="25">
        <f t="shared" si="24"/>
        <v>230000</v>
      </c>
      <c r="BL84" s="25">
        <f t="shared" si="24"/>
        <v>230000</v>
      </c>
      <c r="BM84" s="25">
        <f t="shared" si="24"/>
        <v>230000</v>
      </c>
      <c r="BN84" s="25">
        <f t="shared" si="24"/>
        <v>230000</v>
      </c>
      <c r="BO84" s="25">
        <f t="shared" si="24"/>
        <v>230000</v>
      </c>
    </row>
    <row r="85" spans="1:67" x14ac:dyDescent="0.25">
      <c r="A85" s="213"/>
      <c r="B85" s="202"/>
    </row>
    <row r="86" spans="1:67" x14ac:dyDescent="0.25">
      <c r="A86" s="197" t="s">
        <v>202</v>
      </c>
      <c r="B86" s="202"/>
    </row>
    <row r="87" spans="1:67" x14ac:dyDescent="0.25">
      <c r="A87" s="222" t="str">
        <f>Assumptions!$J$26</f>
        <v>Sales Acquisition</v>
      </c>
      <c r="B87" s="202"/>
      <c r="D87" s="214">
        <f>D10*Assumptions!$K$42</f>
        <v>2000</v>
      </c>
      <c r="E87" s="214">
        <f>E10*Assumptions!$K$42</f>
        <v>2000</v>
      </c>
      <c r="F87" s="214">
        <f>F10*Assumptions!$K$42</f>
        <v>2000</v>
      </c>
      <c r="G87" s="214">
        <f>G10*Assumptions!$K$42</f>
        <v>2000</v>
      </c>
      <c r="H87" s="223">
        <f>H10*Assumptions!$K$42</f>
        <v>4000</v>
      </c>
      <c r="I87" s="223">
        <f>I10*Assumptions!$K$42</f>
        <v>6000</v>
      </c>
      <c r="J87" s="223">
        <f>J10*Assumptions!$K$42</f>
        <v>8000</v>
      </c>
      <c r="K87" s="223">
        <f>K10*Assumptions!$K$42</f>
        <v>10000</v>
      </c>
      <c r="L87" s="223">
        <f>L10*Assumptions!$K$42</f>
        <v>12000</v>
      </c>
      <c r="M87" s="223">
        <f>M10*Assumptions!$K$42</f>
        <v>14000</v>
      </c>
      <c r="N87" s="223">
        <f>N10*Assumptions!$K$42</f>
        <v>16000</v>
      </c>
      <c r="O87" s="223">
        <f>O10*Assumptions!$K$42</f>
        <v>18000</v>
      </c>
      <c r="P87" s="223">
        <f>P10*Assumptions!$K$42</f>
        <v>20000</v>
      </c>
      <c r="Q87" s="223">
        <f>Q10*Assumptions!$K$42</f>
        <v>22000</v>
      </c>
      <c r="R87" s="223">
        <f>R10*Assumptions!$K$42</f>
        <v>24000</v>
      </c>
      <c r="S87" s="223">
        <f>S10*Assumptions!$K$42</f>
        <v>26000</v>
      </c>
      <c r="T87" s="223">
        <f>T10*Assumptions!$K$42</f>
        <v>28000</v>
      </c>
      <c r="U87" s="223">
        <f>U10*Assumptions!$K$42</f>
        <v>30000</v>
      </c>
      <c r="V87" s="223">
        <f>V10*Assumptions!$K$42</f>
        <v>32000</v>
      </c>
      <c r="W87" s="223">
        <f>W10*Assumptions!$K$42</f>
        <v>34000</v>
      </c>
      <c r="X87" s="223">
        <f>X10*Assumptions!$K$42</f>
        <v>36000</v>
      </c>
      <c r="Y87" s="223">
        <f>Y10*Assumptions!$K$42</f>
        <v>38000</v>
      </c>
      <c r="Z87" s="223">
        <f>Z10*Assumptions!$K$42</f>
        <v>40000</v>
      </c>
      <c r="AA87" s="223">
        <f>AA10*Assumptions!$K$42</f>
        <v>42000</v>
      </c>
      <c r="AB87" s="223">
        <f>AB10*Assumptions!$K$42</f>
        <v>44000</v>
      </c>
      <c r="AC87" s="223">
        <f>AC10*Assumptions!$K$42</f>
        <v>46000</v>
      </c>
      <c r="AD87" s="223">
        <f>AD10*Assumptions!$K$42</f>
        <v>48000</v>
      </c>
      <c r="AE87" s="223">
        <f>AE10*Assumptions!$K$42</f>
        <v>50000</v>
      </c>
      <c r="AF87" s="223">
        <f>AF10*Assumptions!$K$42</f>
        <v>52000</v>
      </c>
      <c r="AG87" s="223">
        <f>AG10*Assumptions!$K$42</f>
        <v>54000</v>
      </c>
      <c r="AH87" s="223">
        <f>AH10*Assumptions!$K$42</f>
        <v>56000</v>
      </c>
      <c r="AI87" s="223">
        <f>AI10*Assumptions!$K$42</f>
        <v>58000</v>
      </c>
      <c r="AJ87" s="223">
        <f>AJ10*Assumptions!$K$42</f>
        <v>60000</v>
      </c>
      <c r="AK87" s="223">
        <f>AK10*Assumptions!$K$42</f>
        <v>62000</v>
      </c>
      <c r="AL87" s="223">
        <f>AL10*Assumptions!$K$42</f>
        <v>64000</v>
      </c>
      <c r="AM87" s="223">
        <f>AM10*Assumptions!$K$42</f>
        <v>66000</v>
      </c>
      <c r="AN87" s="223">
        <f>AN10*Assumptions!$K$42</f>
        <v>68000</v>
      </c>
      <c r="AO87" s="223">
        <f>AO10*Assumptions!$K$42</f>
        <v>70000</v>
      </c>
      <c r="AP87" s="223">
        <f>AP10*Assumptions!$K$42</f>
        <v>72000</v>
      </c>
      <c r="AQ87" s="223">
        <f>AQ10*Assumptions!$K$42</f>
        <v>74000</v>
      </c>
      <c r="AR87" s="223">
        <f>AR10*Assumptions!$K$42</f>
        <v>76000</v>
      </c>
      <c r="AS87" s="223">
        <f>AS10*Assumptions!$K$42</f>
        <v>78000</v>
      </c>
      <c r="AT87" s="223">
        <f>AT10*Assumptions!$K$42</f>
        <v>80000</v>
      </c>
      <c r="AU87" s="223">
        <f>AU10*Assumptions!$K$42</f>
        <v>82000</v>
      </c>
      <c r="AV87" s="223">
        <f>AV10*Assumptions!$K$42</f>
        <v>84000</v>
      </c>
      <c r="AW87" s="223">
        <f>AW10*Assumptions!$K$42</f>
        <v>86000</v>
      </c>
      <c r="AX87" s="223">
        <f>AX10*Assumptions!$K$42</f>
        <v>88000</v>
      </c>
      <c r="AY87" s="223">
        <f>AY10*Assumptions!$K$42</f>
        <v>90000</v>
      </c>
      <c r="AZ87" s="223">
        <f>AZ10*Assumptions!$K$42</f>
        <v>92000</v>
      </c>
      <c r="BA87" s="223">
        <f>BA10*Assumptions!$K$42</f>
        <v>94000</v>
      </c>
      <c r="BB87" s="223">
        <f>BB10*Assumptions!$K$42</f>
        <v>96000</v>
      </c>
      <c r="BC87" s="223">
        <f>BC10*Assumptions!$K$42</f>
        <v>98000</v>
      </c>
      <c r="BD87" s="223">
        <f>BD10*Assumptions!$K$42</f>
        <v>100000</v>
      </c>
      <c r="BE87" s="223">
        <f>BE10*Assumptions!$K$42</f>
        <v>102000</v>
      </c>
      <c r="BF87" s="223">
        <f>BF10*Assumptions!$K$42</f>
        <v>104000</v>
      </c>
      <c r="BG87" s="223">
        <f>BG10*Assumptions!$K$42</f>
        <v>106000</v>
      </c>
      <c r="BH87" s="223">
        <f>BH10*Assumptions!$K$42</f>
        <v>108000</v>
      </c>
      <c r="BI87" s="223">
        <f>BI10*Assumptions!$K$42</f>
        <v>110000</v>
      </c>
      <c r="BJ87" s="223">
        <f>BJ10*Assumptions!$K$42</f>
        <v>112000</v>
      </c>
      <c r="BK87" s="223">
        <f>BK10*Assumptions!$K$42</f>
        <v>114000</v>
      </c>
      <c r="BL87" s="223">
        <f>BL10*Assumptions!$K$42</f>
        <v>116000</v>
      </c>
      <c r="BM87" s="223">
        <f>BM10*Assumptions!$K$42</f>
        <v>118000</v>
      </c>
      <c r="BN87" s="223">
        <f>BN10*Assumptions!$K$42</f>
        <v>120000</v>
      </c>
      <c r="BO87" s="223">
        <f>BO10*Assumptions!$K$42</f>
        <v>122000</v>
      </c>
    </row>
    <row r="88" spans="1:67" x14ac:dyDescent="0.25">
      <c r="A88" s="213" t="str">
        <f>Assumptions!$J$27</f>
        <v>Legal</v>
      </c>
      <c r="B88" s="202" t="b">
        <f>(H88*12)=Assumptions!K27</f>
        <v>1</v>
      </c>
      <c r="D88" s="214">
        <f>Assumptions!$M$27/4</f>
        <v>900</v>
      </c>
      <c r="E88" s="214">
        <f>Assumptions!$M$27/4</f>
        <v>900</v>
      </c>
      <c r="F88" s="214">
        <f>Assumptions!$M$27/4</f>
        <v>900</v>
      </c>
      <c r="G88" s="214">
        <f>Assumptions!$M$27/4</f>
        <v>900</v>
      </c>
      <c r="H88" s="51">
        <f>(Assumptions!$K27/12)+(Assumptions!$K27/12)*Assumptions!$K$48</f>
        <v>8333.3333333333339</v>
      </c>
      <c r="I88" s="51">
        <f>(Assumptions!$K27/12)+(Assumptions!$K27/12)*Assumptions!$K$48</f>
        <v>8333.3333333333339</v>
      </c>
      <c r="J88" s="51">
        <f>(Assumptions!$K27/12)+(Assumptions!$K27/12)*Assumptions!$K$48</f>
        <v>8333.3333333333339</v>
      </c>
      <c r="K88" s="51">
        <f>(Assumptions!$K27/12)+(Assumptions!$K27/12)*Assumptions!$K$48</f>
        <v>8333.3333333333339</v>
      </c>
      <c r="L88" s="51">
        <f>(Assumptions!$K27/12)+(Assumptions!$K27/12)*Assumptions!$K$48</f>
        <v>8333.3333333333339</v>
      </c>
      <c r="M88" s="51">
        <f>(Assumptions!$K27/12)+(Assumptions!$K27/12)*Assumptions!$K$48</f>
        <v>8333.3333333333339</v>
      </c>
      <c r="N88" s="51">
        <f>(Assumptions!$K27/12)+(Assumptions!$K27/12)*Assumptions!$K$48</f>
        <v>8333.3333333333339</v>
      </c>
      <c r="O88" s="51">
        <f>(Assumptions!$K27/12)+(Assumptions!$K27/12)*Assumptions!$K$48</f>
        <v>8333.3333333333339</v>
      </c>
      <c r="P88" s="51">
        <f>(Assumptions!$K27/12)+(Assumptions!$K27/12)*Assumptions!$K$48</f>
        <v>8333.3333333333339</v>
      </c>
      <c r="Q88" s="51">
        <f>(Assumptions!$K27/12)+(Assumptions!$K27/12)*Assumptions!$K$48</f>
        <v>8333.3333333333339</v>
      </c>
      <c r="R88" s="51">
        <f>(Assumptions!$K27/12)+(Assumptions!$K27/12)*Assumptions!$K$48</f>
        <v>8333.3333333333339</v>
      </c>
      <c r="S88" s="51">
        <f>(Assumptions!$K27/12)+(Assumptions!$K27/12)*Assumptions!$K$48</f>
        <v>8333.3333333333339</v>
      </c>
      <c r="T88" s="51">
        <f>(Assumptions!$K27/12)+(Assumptions!$K27/12)*Assumptions!$L$48</f>
        <v>10416.666666666668</v>
      </c>
      <c r="U88" s="51">
        <f>(Assumptions!$K27/12)+(Assumptions!$K27/12)*Assumptions!$L$48</f>
        <v>10416.666666666668</v>
      </c>
      <c r="V88" s="51">
        <f>(Assumptions!$K27/12)+(Assumptions!$K27/12)*Assumptions!$L$48</f>
        <v>10416.666666666668</v>
      </c>
      <c r="W88" s="51">
        <f>(Assumptions!$K27/12)+(Assumptions!$K27/12)*Assumptions!$L$48</f>
        <v>10416.666666666668</v>
      </c>
      <c r="X88" s="51">
        <f>(Assumptions!$K27/12)+(Assumptions!$K27/12)*Assumptions!$L$48</f>
        <v>10416.666666666668</v>
      </c>
      <c r="Y88" s="51">
        <f>(Assumptions!$K27/12)+(Assumptions!$K27/12)*Assumptions!$L$48</f>
        <v>10416.666666666668</v>
      </c>
      <c r="Z88" s="51">
        <f>(Assumptions!$K27/12)+(Assumptions!$K27/12)*Assumptions!$L$48</f>
        <v>10416.666666666668</v>
      </c>
      <c r="AA88" s="51">
        <f>(Assumptions!$K27/12)+(Assumptions!$K27/12)*Assumptions!$L$48</f>
        <v>10416.666666666668</v>
      </c>
      <c r="AB88" s="51">
        <f>(Assumptions!$K27/12)+(Assumptions!$K27/12)*Assumptions!$L$48</f>
        <v>10416.666666666668</v>
      </c>
      <c r="AC88" s="51">
        <f>(Assumptions!$K27/12)+(Assumptions!$K27/12)*Assumptions!$L$48</f>
        <v>10416.666666666668</v>
      </c>
      <c r="AD88" s="51">
        <f>(Assumptions!$K27/12)+(Assumptions!$K27/12)*Assumptions!$L$48</f>
        <v>10416.666666666668</v>
      </c>
      <c r="AE88" s="51">
        <f>(Assumptions!$K27/12)+(Assumptions!$K27/12)*Assumptions!$L$48</f>
        <v>10416.666666666668</v>
      </c>
      <c r="AF88" s="51">
        <f>(Assumptions!$K27/12)+(Assumptions!$K27/12)*Assumptions!$M$48</f>
        <v>13333.333333333334</v>
      </c>
      <c r="AG88" s="51">
        <f>(Assumptions!$K27/12)+(Assumptions!$K27/12)*Assumptions!$M$48</f>
        <v>13333.333333333334</v>
      </c>
      <c r="AH88" s="51">
        <f>(Assumptions!$K27/12)+(Assumptions!$K27/12)*Assumptions!$M$48</f>
        <v>13333.333333333334</v>
      </c>
      <c r="AI88" s="51">
        <f>(Assumptions!$K27/12)+(Assumptions!$K27/12)*Assumptions!$M$48</f>
        <v>13333.333333333334</v>
      </c>
      <c r="AJ88" s="51">
        <f>(Assumptions!$K27/12)+(Assumptions!$K27/12)*Assumptions!$M$48</f>
        <v>13333.333333333334</v>
      </c>
      <c r="AK88" s="51">
        <f>(Assumptions!$K27/12)+(Assumptions!$K27/12)*Assumptions!$M$48</f>
        <v>13333.333333333334</v>
      </c>
      <c r="AL88" s="51">
        <f>(Assumptions!$K27/12)+(Assumptions!$K27/12)*Assumptions!$M$48</f>
        <v>13333.333333333334</v>
      </c>
      <c r="AM88" s="51">
        <f>(Assumptions!$K27/12)+(Assumptions!$K27/12)*Assumptions!$M$48</f>
        <v>13333.333333333334</v>
      </c>
      <c r="AN88" s="51">
        <f>(Assumptions!$K27/12)+(Assumptions!$K27/12)*Assumptions!$M$48</f>
        <v>13333.333333333334</v>
      </c>
      <c r="AO88" s="51">
        <f>(Assumptions!$K27/12)+(Assumptions!$K27/12)*Assumptions!$M$48</f>
        <v>13333.333333333334</v>
      </c>
      <c r="AP88" s="51">
        <f>(Assumptions!$K27/12)+(Assumptions!$K27/12)*Assumptions!$M$48</f>
        <v>13333.333333333334</v>
      </c>
      <c r="AQ88" s="51">
        <f>(Assumptions!$K27/12)+(Assumptions!$K27/12)*Assumptions!$M$48</f>
        <v>13333.333333333334</v>
      </c>
      <c r="AR88" s="51">
        <f>(Assumptions!$K27/12)+(Assumptions!$K27/12)*Assumptions!$N$48</f>
        <v>19166.666666666668</v>
      </c>
      <c r="AS88" s="51">
        <f>(Assumptions!$K27/12)+(Assumptions!$K27/12)*Assumptions!$N$48</f>
        <v>19166.666666666668</v>
      </c>
      <c r="AT88" s="51">
        <f>(Assumptions!$K27/12)+(Assumptions!$K27/12)*Assumptions!$N$48</f>
        <v>19166.666666666668</v>
      </c>
      <c r="AU88" s="51">
        <f>(Assumptions!$K27/12)+(Assumptions!$K27/12)*Assumptions!$N$48</f>
        <v>19166.666666666668</v>
      </c>
      <c r="AV88" s="51">
        <f>(Assumptions!$K27/12)+(Assumptions!$K27/12)*Assumptions!$N$48</f>
        <v>19166.666666666668</v>
      </c>
      <c r="AW88" s="51">
        <f>(Assumptions!$K27/12)+(Assumptions!$K27/12)*Assumptions!$N$48</f>
        <v>19166.666666666668</v>
      </c>
      <c r="AX88" s="51">
        <f>(Assumptions!$K27/12)+(Assumptions!$K27/12)*Assumptions!$N$48</f>
        <v>19166.666666666668</v>
      </c>
      <c r="AY88" s="51">
        <f>(Assumptions!$K27/12)+(Assumptions!$K27/12)*Assumptions!$N$48</f>
        <v>19166.666666666668</v>
      </c>
      <c r="AZ88" s="51">
        <f>(Assumptions!$K27/12)+(Assumptions!$K27/12)*Assumptions!$N$48</f>
        <v>19166.666666666668</v>
      </c>
      <c r="BA88" s="51">
        <f>(Assumptions!$K27/12)+(Assumptions!$K27/12)*Assumptions!$N$48</f>
        <v>19166.666666666668</v>
      </c>
      <c r="BB88" s="51">
        <f>(Assumptions!$K27/12)+(Assumptions!$K27/12)*Assumptions!$N$48</f>
        <v>19166.666666666668</v>
      </c>
      <c r="BC88" s="51">
        <f>(Assumptions!$K27/12)+(Assumptions!$K27/12)*Assumptions!$N$48</f>
        <v>19166.666666666668</v>
      </c>
      <c r="BD88" s="51">
        <f>(Assumptions!$K27/12)+(Assumptions!$K27/12)*Assumptions!$O$48</f>
        <v>25000</v>
      </c>
      <c r="BE88" s="51">
        <f>(Assumptions!$K27/12)+(Assumptions!$K27/12)*Assumptions!$O$48</f>
        <v>25000</v>
      </c>
      <c r="BF88" s="51">
        <f>(Assumptions!$K27/12)+(Assumptions!$K27/12)*Assumptions!$O$48</f>
        <v>25000</v>
      </c>
      <c r="BG88" s="51">
        <f>(Assumptions!$K27/12)+(Assumptions!$K27/12)*Assumptions!$O$48</f>
        <v>25000</v>
      </c>
      <c r="BH88" s="51">
        <f>(Assumptions!$K27/12)+(Assumptions!$K27/12)*Assumptions!$O$48</f>
        <v>25000</v>
      </c>
      <c r="BI88" s="51">
        <f>(Assumptions!$K27/12)+(Assumptions!$K27/12)*Assumptions!$O$48</f>
        <v>25000</v>
      </c>
      <c r="BJ88" s="51">
        <f>(Assumptions!$K27/12)+(Assumptions!$K27/12)*Assumptions!$O$48</f>
        <v>25000</v>
      </c>
      <c r="BK88" s="51">
        <f>(Assumptions!$K27/12)+(Assumptions!$K27/12)*Assumptions!$O$48</f>
        <v>25000</v>
      </c>
      <c r="BL88" s="51">
        <f>(Assumptions!$K27/12)+(Assumptions!$K27/12)*Assumptions!$O$48</f>
        <v>25000</v>
      </c>
      <c r="BM88" s="51">
        <f>(Assumptions!$K27/12)+(Assumptions!$K27/12)*Assumptions!$O$48</f>
        <v>25000</v>
      </c>
      <c r="BN88" s="51">
        <f>(Assumptions!$K27/12)+(Assumptions!$K27/12)*Assumptions!$O$48</f>
        <v>25000</v>
      </c>
      <c r="BO88" s="51">
        <f>(Assumptions!$K27/12)+(Assumptions!$K27/12)*Assumptions!$O$48</f>
        <v>25000</v>
      </c>
    </row>
    <row r="89" spans="1:67" x14ac:dyDescent="0.25">
      <c r="A89" s="213" t="str">
        <f>Assumptions!$J$28</f>
        <v>Litigation Insurance</v>
      </c>
      <c r="B89" s="202" t="b">
        <f>(H89*12)=Assumptions!K28</f>
        <v>1</v>
      </c>
      <c r="D89" s="214">
        <f>Assumptions!$M$28/4</f>
        <v>700</v>
      </c>
      <c r="E89" s="214">
        <f>Assumptions!$M$28/4</f>
        <v>700</v>
      </c>
      <c r="F89" s="214">
        <f>Assumptions!$M$28/4</f>
        <v>700</v>
      </c>
      <c r="G89" s="214">
        <f>Assumptions!$M$28/4</f>
        <v>700</v>
      </c>
      <c r="H89" s="51">
        <f>(Assumptions!$K28/12)+(Assumptions!$K28/12)*Assumptions!$K$48</f>
        <v>1666.6666666666667</v>
      </c>
      <c r="I89" s="51">
        <f>(Assumptions!$K28/12)+(Assumptions!$K28/12)*Assumptions!$K$48</f>
        <v>1666.6666666666667</v>
      </c>
      <c r="J89" s="51">
        <f>(Assumptions!$K28/12)+(Assumptions!$K28/12)*Assumptions!$K$48</f>
        <v>1666.6666666666667</v>
      </c>
      <c r="K89" s="51">
        <f>(Assumptions!$K28/12)+(Assumptions!$K28/12)*Assumptions!$K$48</f>
        <v>1666.6666666666667</v>
      </c>
      <c r="L89" s="51">
        <f>(Assumptions!$K28/12)+(Assumptions!$K28/12)*Assumptions!$K$48</f>
        <v>1666.6666666666667</v>
      </c>
      <c r="M89" s="51">
        <f>(Assumptions!$K28/12)+(Assumptions!$K28/12)*Assumptions!$K$48</f>
        <v>1666.6666666666667</v>
      </c>
      <c r="N89" s="51">
        <f>(Assumptions!$K28/12)+(Assumptions!$K28/12)*Assumptions!$K$48</f>
        <v>1666.6666666666667</v>
      </c>
      <c r="O89" s="51">
        <f>(Assumptions!$K28/12)+(Assumptions!$K28/12)*Assumptions!$K$48</f>
        <v>1666.6666666666667</v>
      </c>
      <c r="P89" s="51">
        <f>(Assumptions!$K28/12)+(Assumptions!$K28/12)*Assumptions!$K$48</f>
        <v>1666.6666666666667</v>
      </c>
      <c r="Q89" s="51">
        <f>(Assumptions!$K28/12)+(Assumptions!$K28/12)*Assumptions!$K$48</f>
        <v>1666.6666666666667</v>
      </c>
      <c r="R89" s="51">
        <f>(Assumptions!$K28/12)+(Assumptions!$K28/12)*Assumptions!$K$48</f>
        <v>1666.6666666666667</v>
      </c>
      <c r="S89" s="51">
        <f>(Assumptions!$K28/12)+(Assumptions!$K28/12)*Assumptions!$K$48</f>
        <v>1666.6666666666667</v>
      </c>
      <c r="T89" s="51">
        <f>(Assumptions!$K28/12)+(Assumptions!$K28/12)*Assumptions!$L$48</f>
        <v>2083.3333333333335</v>
      </c>
      <c r="U89" s="51">
        <f>(Assumptions!$K28/12)+(Assumptions!$K28/12)*Assumptions!$L$48</f>
        <v>2083.3333333333335</v>
      </c>
      <c r="V89" s="51">
        <f>(Assumptions!$K28/12)+(Assumptions!$K28/12)*Assumptions!$L$48</f>
        <v>2083.3333333333335</v>
      </c>
      <c r="W89" s="51">
        <f>(Assumptions!$K28/12)+(Assumptions!$K28/12)*Assumptions!$L$48</f>
        <v>2083.3333333333335</v>
      </c>
      <c r="X89" s="51">
        <f>(Assumptions!$K28/12)+(Assumptions!$K28/12)*Assumptions!$L$48</f>
        <v>2083.3333333333335</v>
      </c>
      <c r="Y89" s="51">
        <f>(Assumptions!$K28/12)+(Assumptions!$K28/12)*Assumptions!$L$48</f>
        <v>2083.3333333333335</v>
      </c>
      <c r="Z89" s="51">
        <f>(Assumptions!$K28/12)+(Assumptions!$K28/12)*Assumptions!$L$48</f>
        <v>2083.3333333333335</v>
      </c>
      <c r="AA89" s="51">
        <f>(Assumptions!$K28/12)+(Assumptions!$K28/12)*Assumptions!$L$48</f>
        <v>2083.3333333333335</v>
      </c>
      <c r="AB89" s="51">
        <f>(Assumptions!$K28/12)+(Assumptions!$K28/12)*Assumptions!$L$48</f>
        <v>2083.3333333333335</v>
      </c>
      <c r="AC89" s="51">
        <f>(Assumptions!$K28/12)+(Assumptions!$K28/12)*Assumptions!$L$48</f>
        <v>2083.3333333333335</v>
      </c>
      <c r="AD89" s="51">
        <f>(Assumptions!$K28/12)+(Assumptions!$K28/12)*Assumptions!$L$48</f>
        <v>2083.3333333333335</v>
      </c>
      <c r="AE89" s="51">
        <f>(Assumptions!$K28/12)+(Assumptions!$K28/12)*Assumptions!$L$48</f>
        <v>2083.3333333333335</v>
      </c>
      <c r="AF89" s="51">
        <f>(Assumptions!$K28/12)+(Assumptions!$K28/12)*Assumptions!$M$48</f>
        <v>2666.666666666667</v>
      </c>
      <c r="AG89" s="51">
        <f>(Assumptions!$K28/12)+(Assumptions!$K28/12)*Assumptions!$M$48</f>
        <v>2666.666666666667</v>
      </c>
      <c r="AH89" s="51">
        <f>(Assumptions!$K28/12)+(Assumptions!$K28/12)*Assumptions!$M$48</f>
        <v>2666.666666666667</v>
      </c>
      <c r="AI89" s="51">
        <f>(Assumptions!$K28/12)+(Assumptions!$K28/12)*Assumptions!$M$48</f>
        <v>2666.666666666667</v>
      </c>
      <c r="AJ89" s="51">
        <f>(Assumptions!$K28/12)+(Assumptions!$K28/12)*Assumptions!$M$48</f>
        <v>2666.666666666667</v>
      </c>
      <c r="AK89" s="51">
        <f>(Assumptions!$K28/12)+(Assumptions!$K28/12)*Assumptions!$M$48</f>
        <v>2666.666666666667</v>
      </c>
      <c r="AL89" s="51">
        <f>(Assumptions!$K28/12)+(Assumptions!$K28/12)*Assumptions!$M$48</f>
        <v>2666.666666666667</v>
      </c>
      <c r="AM89" s="51">
        <f>(Assumptions!$K28/12)+(Assumptions!$K28/12)*Assumptions!$M$48</f>
        <v>2666.666666666667</v>
      </c>
      <c r="AN89" s="51">
        <f>(Assumptions!$K28/12)+(Assumptions!$K28/12)*Assumptions!$M$48</f>
        <v>2666.666666666667</v>
      </c>
      <c r="AO89" s="51">
        <f>(Assumptions!$K28/12)+(Assumptions!$K28/12)*Assumptions!$M$48</f>
        <v>2666.666666666667</v>
      </c>
      <c r="AP89" s="51">
        <f>(Assumptions!$K28/12)+(Assumptions!$K28/12)*Assumptions!$M$48</f>
        <v>2666.666666666667</v>
      </c>
      <c r="AQ89" s="51">
        <f>(Assumptions!$K28/12)+(Assumptions!$K28/12)*Assumptions!$M$48</f>
        <v>2666.666666666667</v>
      </c>
      <c r="AR89" s="51">
        <f>(Assumptions!$K28/12)+(Assumptions!$K28/12)*Assumptions!$N$48</f>
        <v>3833.3333333333339</v>
      </c>
      <c r="AS89" s="51">
        <f>(Assumptions!$K28/12)+(Assumptions!$K28/12)*Assumptions!$N$48</f>
        <v>3833.3333333333339</v>
      </c>
      <c r="AT89" s="51">
        <f>(Assumptions!$K28/12)+(Assumptions!$K28/12)*Assumptions!$N$48</f>
        <v>3833.3333333333339</v>
      </c>
      <c r="AU89" s="51">
        <f>(Assumptions!$K28/12)+(Assumptions!$K28/12)*Assumptions!$N$48</f>
        <v>3833.3333333333339</v>
      </c>
      <c r="AV89" s="51">
        <f>(Assumptions!$K28/12)+(Assumptions!$K28/12)*Assumptions!$N$48</f>
        <v>3833.3333333333339</v>
      </c>
      <c r="AW89" s="51">
        <f>(Assumptions!$K28/12)+(Assumptions!$K28/12)*Assumptions!$N$48</f>
        <v>3833.3333333333339</v>
      </c>
      <c r="AX89" s="51">
        <f>(Assumptions!$K28/12)+(Assumptions!$K28/12)*Assumptions!$N$48</f>
        <v>3833.3333333333339</v>
      </c>
      <c r="AY89" s="51">
        <f>(Assumptions!$K28/12)+(Assumptions!$K28/12)*Assumptions!$N$48</f>
        <v>3833.3333333333339</v>
      </c>
      <c r="AZ89" s="51">
        <f>(Assumptions!$K28/12)+(Assumptions!$K28/12)*Assumptions!$N$48</f>
        <v>3833.3333333333339</v>
      </c>
      <c r="BA89" s="51">
        <f>(Assumptions!$K28/12)+(Assumptions!$K28/12)*Assumptions!$N$48</f>
        <v>3833.3333333333339</v>
      </c>
      <c r="BB89" s="51">
        <f>(Assumptions!$K28/12)+(Assumptions!$K28/12)*Assumptions!$N$48</f>
        <v>3833.3333333333339</v>
      </c>
      <c r="BC89" s="51">
        <f>(Assumptions!$K28/12)+(Assumptions!$K28/12)*Assumptions!$N$48</f>
        <v>3833.3333333333339</v>
      </c>
      <c r="BD89" s="51">
        <f>(Assumptions!$K28/12)+(Assumptions!$K28/12)*Assumptions!$O$48</f>
        <v>5000</v>
      </c>
      <c r="BE89" s="51">
        <f>(Assumptions!$K28/12)+(Assumptions!$K28/12)*Assumptions!$O$48</f>
        <v>5000</v>
      </c>
      <c r="BF89" s="51">
        <f>(Assumptions!$K28/12)+(Assumptions!$K28/12)*Assumptions!$O$48</f>
        <v>5000</v>
      </c>
      <c r="BG89" s="51">
        <f>(Assumptions!$K28/12)+(Assumptions!$K28/12)*Assumptions!$O$48</f>
        <v>5000</v>
      </c>
      <c r="BH89" s="51">
        <f>(Assumptions!$K28/12)+(Assumptions!$K28/12)*Assumptions!$O$48</f>
        <v>5000</v>
      </c>
      <c r="BI89" s="51">
        <f>(Assumptions!$K28/12)+(Assumptions!$K28/12)*Assumptions!$O$48</f>
        <v>5000</v>
      </c>
      <c r="BJ89" s="51">
        <f>(Assumptions!$K28/12)+(Assumptions!$K28/12)*Assumptions!$O$48</f>
        <v>5000</v>
      </c>
      <c r="BK89" s="51">
        <f>(Assumptions!$K28/12)+(Assumptions!$K28/12)*Assumptions!$O$48</f>
        <v>5000</v>
      </c>
      <c r="BL89" s="51">
        <f>(Assumptions!$K28/12)+(Assumptions!$K28/12)*Assumptions!$O$48</f>
        <v>5000</v>
      </c>
      <c r="BM89" s="51">
        <f>(Assumptions!$K28/12)+(Assumptions!$K28/12)*Assumptions!$O$48</f>
        <v>5000</v>
      </c>
      <c r="BN89" s="51">
        <f>(Assumptions!$K28/12)+(Assumptions!$K28/12)*Assumptions!$O$48</f>
        <v>5000</v>
      </c>
      <c r="BO89" s="51">
        <f>(Assumptions!$K28/12)+(Assumptions!$K28/12)*Assumptions!$O$48</f>
        <v>5000</v>
      </c>
    </row>
    <row r="90" spans="1:67" x14ac:dyDescent="0.25">
      <c r="A90" s="213" t="str">
        <f>Assumptions!$J$29</f>
        <v>Outsourced Accounting</v>
      </c>
      <c r="B90" s="202" t="b">
        <f>(H90*12)=Assumptions!K29</f>
        <v>1</v>
      </c>
      <c r="D90" s="214">
        <f>Assumptions!$M$29/4</f>
        <v>0</v>
      </c>
      <c r="E90" s="214">
        <f>Assumptions!$M$29/4</f>
        <v>0</v>
      </c>
      <c r="F90" s="214">
        <f>Assumptions!$M$29/4</f>
        <v>0</v>
      </c>
      <c r="G90" s="214">
        <f>Assumptions!$M$29/4</f>
        <v>0</v>
      </c>
      <c r="H90" s="51">
        <f>(Assumptions!$K29/12)+(Assumptions!$K29/12)*Assumptions!$K$48</f>
        <v>3333.3333333333335</v>
      </c>
      <c r="I90" s="51">
        <f>(Assumptions!$K29/12)+(Assumptions!$K29/12)*Assumptions!$K$48</f>
        <v>3333.3333333333335</v>
      </c>
      <c r="J90" s="51">
        <f>(Assumptions!$K29/12)+(Assumptions!$K29/12)*Assumptions!$K$48</f>
        <v>3333.3333333333335</v>
      </c>
      <c r="K90" s="51">
        <f>(Assumptions!$K29/12)+(Assumptions!$K29/12)*Assumptions!$K$48</f>
        <v>3333.3333333333335</v>
      </c>
      <c r="L90" s="51">
        <f>(Assumptions!$K29/12)+(Assumptions!$K29/12)*Assumptions!$K$48</f>
        <v>3333.3333333333335</v>
      </c>
      <c r="M90" s="51">
        <f>(Assumptions!$K29/12)+(Assumptions!$K29/12)*Assumptions!$K$48</f>
        <v>3333.3333333333335</v>
      </c>
      <c r="N90" s="51">
        <f>(Assumptions!$K29/12)+(Assumptions!$K29/12)*Assumptions!$K$48</f>
        <v>3333.3333333333335</v>
      </c>
      <c r="O90" s="51">
        <f>(Assumptions!$K29/12)+(Assumptions!$K29/12)*Assumptions!$K$48</f>
        <v>3333.3333333333335</v>
      </c>
      <c r="P90" s="51">
        <f>(Assumptions!$K29/12)+(Assumptions!$K29/12)*Assumptions!$K$48</f>
        <v>3333.3333333333335</v>
      </c>
      <c r="Q90" s="51">
        <f>(Assumptions!$K29/12)+(Assumptions!$K29/12)*Assumptions!$K$48</f>
        <v>3333.3333333333335</v>
      </c>
      <c r="R90" s="51">
        <f>(Assumptions!$K29/12)+(Assumptions!$K29/12)*Assumptions!$K$48</f>
        <v>3333.3333333333335</v>
      </c>
      <c r="S90" s="51">
        <f>(Assumptions!$K29/12)+(Assumptions!$K29/12)*Assumptions!$K$48</f>
        <v>3333.3333333333335</v>
      </c>
      <c r="T90" s="51">
        <f>(Assumptions!$K29/12)+(Assumptions!$K29/12)*Assumptions!$L$48</f>
        <v>4166.666666666667</v>
      </c>
      <c r="U90" s="51">
        <f>(Assumptions!$K29/12)+(Assumptions!$K29/12)*Assumptions!$L$48</f>
        <v>4166.666666666667</v>
      </c>
      <c r="V90" s="51">
        <f>(Assumptions!$K29/12)+(Assumptions!$K29/12)*Assumptions!$L$48</f>
        <v>4166.666666666667</v>
      </c>
      <c r="W90" s="51">
        <f>(Assumptions!$K29/12)+(Assumptions!$K29/12)*Assumptions!$L$48</f>
        <v>4166.666666666667</v>
      </c>
      <c r="X90" s="51">
        <f>(Assumptions!$K29/12)+(Assumptions!$K29/12)*Assumptions!$L$48</f>
        <v>4166.666666666667</v>
      </c>
      <c r="Y90" s="51">
        <f>(Assumptions!$K29/12)+(Assumptions!$K29/12)*Assumptions!$L$48</f>
        <v>4166.666666666667</v>
      </c>
      <c r="Z90" s="51">
        <f>(Assumptions!$K29/12)+(Assumptions!$K29/12)*Assumptions!$L$48</f>
        <v>4166.666666666667</v>
      </c>
      <c r="AA90" s="51">
        <f>(Assumptions!$K29/12)+(Assumptions!$K29/12)*Assumptions!$L$48</f>
        <v>4166.666666666667</v>
      </c>
      <c r="AB90" s="51">
        <f>(Assumptions!$K29/12)+(Assumptions!$K29/12)*Assumptions!$L$48</f>
        <v>4166.666666666667</v>
      </c>
      <c r="AC90" s="51">
        <f>(Assumptions!$K29/12)+(Assumptions!$K29/12)*Assumptions!$L$48</f>
        <v>4166.666666666667</v>
      </c>
      <c r="AD90" s="51">
        <f>(Assumptions!$K29/12)+(Assumptions!$K29/12)*Assumptions!$L$48</f>
        <v>4166.666666666667</v>
      </c>
      <c r="AE90" s="51">
        <f>(Assumptions!$K29/12)+(Assumptions!$K29/12)*Assumptions!$L$48</f>
        <v>4166.666666666667</v>
      </c>
      <c r="AF90" s="51">
        <f>(Assumptions!$K29/12)+(Assumptions!$K29/12)*Assumptions!$M$48</f>
        <v>5333.3333333333339</v>
      </c>
      <c r="AG90" s="51">
        <f>(Assumptions!$K29/12)+(Assumptions!$K29/12)*Assumptions!$M$48</f>
        <v>5333.3333333333339</v>
      </c>
      <c r="AH90" s="51">
        <f>(Assumptions!$K29/12)+(Assumptions!$K29/12)*Assumptions!$M$48</f>
        <v>5333.3333333333339</v>
      </c>
      <c r="AI90" s="51">
        <f>(Assumptions!$K29/12)+(Assumptions!$K29/12)*Assumptions!$M$48</f>
        <v>5333.3333333333339</v>
      </c>
      <c r="AJ90" s="51">
        <f>(Assumptions!$K29/12)+(Assumptions!$K29/12)*Assumptions!$M$48</f>
        <v>5333.3333333333339</v>
      </c>
      <c r="AK90" s="51">
        <f>(Assumptions!$K29/12)+(Assumptions!$K29/12)*Assumptions!$M$48</f>
        <v>5333.3333333333339</v>
      </c>
      <c r="AL90" s="51">
        <f>(Assumptions!$K29/12)+(Assumptions!$K29/12)*Assumptions!$M$48</f>
        <v>5333.3333333333339</v>
      </c>
      <c r="AM90" s="51">
        <f>(Assumptions!$K29/12)+(Assumptions!$K29/12)*Assumptions!$M$48</f>
        <v>5333.3333333333339</v>
      </c>
      <c r="AN90" s="51">
        <f>(Assumptions!$K29/12)+(Assumptions!$K29/12)*Assumptions!$M$48</f>
        <v>5333.3333333333339</v>
      </c>
      <c r="AO90" s="51">
        <f>(Assumptions!$K29/12)+(Assumptions!$K29/12)*Assumptions!$M$48</f>
        <v>5333.3333333333339</v>
      </c>
      <c r="AP90" s="51">
        <f>(Assumptions!$K29/12)+(Assumptions!$K29/12)*Assumptions!$M$48</f>
        <v>5333.3333333333339</v>
      </c>
      <c r="AQ90" s="51">
        <f>(Assumptions!$K29/12)+(Assumptions!$K29/12)*Assumptions!$M$48</f>
        <v>5333.3333333333339</v>
      </c>
      <c r="AR90" s="51">
        <f>(Assumptions!$K29/12)+(Assumptions!$K29/12)*Assumptions!$N$48</f>
        <v>7666.6666666666679</v>
      </c>
      <c r="AS90" s="51">
        <f>(Assumptions!$K29/12)+(Assumptions!$K29/12)*Assumptions!$N$48</f>
        <v>7666.6666666666679</v>
      </c>
      <c r="AT90" s="51">
        <f>(Assumptions!$K29/12)+(Assumptions!$K29/12)*Assumptions!$N$48</f>
        <v>7666.6666666666679</v>
      </c>
      <c r="AU90" s="51">
        <f>(Assumptions!$K29/12)+(Assumptions!$K29/12)*Assumptions!$N$48</f>
        <v>7666.6666666666679</v>
      </c>
      <c r="AV90" s="51">
        <f>(Assumptions!$K29/12)+(Assumptions!$K29/12)*Assumptions!$N$48</f>
        <v>7666.6666666666679</v>
      </c>
      <c r="AW90" s="51">
        <f>(Assumptions!$K29/12)+(Assumptions!$K29/12)*Assumptions!$N$48</f>
        <v>7666.6666666666679</v>
      </c>
      <c r="AX90" s="51">
        <f>(Assumptions!$K29/12)+(Assumptions!$K29/12)*Assumptions!$N$48</f>
        <v>7666.6666666666679</v>
      </c>
      <c r="AY90" s="51">
        <f>(Assumptions!$K29/12)+(Assumptions!$K29/12)*Assumptions!$N$48</f>
        <v>7666.6666666666679</v>
      </c>
      <c r="AZ90" s="51">
        <f>(Assumptions!$K29/12)+(Assumptions!$K29/12)*Assumptions!$N$48</f>
        <v>7666.6666666666679</v>
      </c>
      <c r="BA90" s="51">
        <f>(Assumptions!$K29/12)+(Assumptions!$K29/12)*Assumptions!$N$48</f>
        <v>7666.6666666666679</v>
      </c>
      <c r="BB90" s="51">
        <f>(Assumptions!$K29/12)+(Assumptions!$K29/12)*Assumptions!$N$48</f>
        <v>7666.6666666666679</v>
      </c>
      <c r="BC90" s="51">
        <f>(Assumptions!$K29/12)+(Assumptions!$K29/12)*Assumptions!$N$48</f>
        <v>7666.6666666666679</v>
      </c>
      <c r="BD90" s="51">
        <f>(Assumptions!$K29/12)+(Assumptions!$K29/12)*Assumptions!$O$48</f>
        <v>10000</v>
      </c>
      <c r="BE90" s="51">
        <f>(Assumptions!$K29/12)+(Assumptions!$K29/12)*Assumptions!$O$48</f>
        <v>10000</v>
      </c>
      <c r="BF90" s="51">
        <f>(Assumptions!$K29/12)+(Assumptions!$K29/12)*Assumptions!$O$48</f>
        <v>10000</v>
      </c>
      <c r="BG90" s="51">
        <f>(Assumptions!$K29/12)+(Assumptions!$K29/12)*Assumptions!$O$48</f>
        <v>10000</v>
      </c>
      <c r="BH90" s="51">
        <f>(Assumptions!$K29/12)+(Assumptions!$K29/12)*Assumptions!$O$48</f>
        <v>10000</v>
      </c>
      <c r="BI90" s="51">
        <f>(Assumptions!$K29/12)+(Assumptions!$K29/12)*Assumptions!$O$48</f>
        <v>10000</v>
      </c>
      <c r="BJ90" s="51">
        <f>(Assumptions!$K29/12)+(Assumptions!$K29/12)*Assumptions!$O$48</f>
        <v>10000</v>
      </c>
      <c r="BK90" s="51">
        <f>(Assumptions!$K29/12)+(Assumptions!$K29/12)*Assumptions!$O$48</f>
        <v>10000</v>
      </c>
      <c r="BL90" s="51">
        <f>(Assumptions!$K29/12)+(Assumptions!$K29/12)*Assumptions!$O$48</f>
        <v>10000</v>
      </c>
      <c r="BM90" s="51">
        <f>(Assumptions!$K29/12)+(Assumptions!$K29/12)*Assumptions!$O$48</f>
        <v>10000</v>
      </c>
      <c r="BN90" s="51">
        <f>(Assumptions!$K29/12)+(Assumptions!$K29/12)*Assumptions!$O$48</f>
        <v>10000</v>
      </c>
      <c r="BO90" s="51">
        <f>(Assumptions!$K29/12)+(Assumptions!$K29/12)*Assumptions!$O$48</f>
        <v>10000</v>
      </c>
    </row>
    <row r="91" spans="1:67" x14ac:dyDescent="0.25">
      <c r="A91" s="220" t="str">
        <f>Assumptions!$J$30</f>
        <v xml:space="preserve">Security </v>
      </c>
      <c r="B91" s="202" t="b">
        <f>(H91*12)=Assumptions!K30</f>
        <v>1</v>
      </c>
      <c r="D91" s="214">
        <f>Assumptions!$M$30/4</f>
        <v>800</v>
      </c>
      <c r="E91" s="214">
        <f>Assumptions!$M$30/4</f>
        <v>800</v>
      </c>
      <c r="F91" s="214">
        <f>Assumptions!$M$30/4</f>
        <v>800</v>
      </c>
      <c r="G91" s="214">
        <f>Assumptions!$M$30/4</f>
        <v>800</v>
      </c>
      <c r="H91" s="221">
        <f>(Assumptions!$K30/12)+(Assumptions!$K30/12)*Assumptions!$K$45</f>
        <v>4166.666666666667</v>
      </c>
      <c r="I91" s="221">
        <f>(Assumptions!$K30/12)+(Assumptions!$K30/12)*Assumptions!$K$45</f>
        <v>4166.666666666667</v>
      </c>
      <c r="J91" s="221">
        <f>(Assumptions!$K30/12)+(Assumptions!$K30/12)*Assumptions!$K$45</f>
        <v>4166.666666666667</v>
      </c>
      <c r="K91" s="221">
        <f>(Assumptions!$K30/12)+(Assumptions!$K30/12)*Assumptions!$K$45</f>
        <v>4166.666666666667</v>
      </c>
      <c r="L91" s="221">
        <f>(Assumptions!$K30/12)+(Assumptions!$K30/12)*Assumptions!$K$45</f>
        <v>4166.666666666667</v>
      </c>
      <c r="M91" s="221">
        <f>(Assumptions!$K30/12)+(Assumptions!$K30/12)*Assumptions!$K$45</f>
        <v>4166.666666666667</v>
      </c>
      <c r="N91" s="221">
        <f>(Assumptions!$K30/12)+(Assumptions!$K30/12)*Assumptions!$K$45</f>
        <v>4166.666666666667</v>
      </c>
      <c r="O91" s="221">
        <f>(Assumptions!$K30/12)+(Assumptions!$K30/12)*Assumptions!$K$45</f>
        <v>4166.666666666667</v>
      </c>
      <c r="P91" s="221">
        <f>(Assumptions!$K30/12)+(Assumptions!$K30/12)*Assumptions!$K$45</f>
        <v>4166.666666666667</v>
      </c>
      <c r="Q91" s="221">
        <f>(Assumptions!$K30/12)+(Assumptions!$K30/12)*Assumptions!$K$45</f>
        <v>4166.666666666667</v>
      </c>
      <c r="R91" s="221">
        <f>(Assumptions!$K30/12)+(Assumptions!$K30/12)*Assumptions!$K$45</f>
        <v>4166.666666666667</v>
      </c>
      <c r="S91" s="221">
        <f>(Assumptions!$K30/12)+(Assumptions!$K30/12)*Assumptions!$K$45</f>
        <v>4166.666666666667</v>
      </c>
      <c r="T91" s="221">
        <f>(Assumptions!$K30/12)+(Assumptions!$K30/12)*Assumptions!$L$45</f>
        <v>20833.333333333336</v>
      </c>
      <c r="U91" s="221">
        <f>(Assumptions!$K30/12)+(Assumptions!$K30/12)*Assumptions!$L$45</f>
        <v>20833.333333333336</v>
      </c>
      <c r="V91" s="221">
        <f>(Assumptions!$K30/12)+(Assumptions!$K30/12)*Assumptions!$L$45</f>
        <v>20833.333333333336</v>
      </c>
      <c r="W91" s="221">
        <f>(Assumptions!$K30/12)+(Assumptions!$K30/12)*Assumptions!$L$45</f>
        <v>20833.333333333336</v>
      </c>
      <c r="X91" s="221">
        <f>(Assumptions!$K30/12)+(Assumptions!$K30/12)*Assumptions!$L$45</f>
        <v>20833.333333333336</v>
      </c>
      <c r="Y91" s="221">
        <f>(Assumptions!$K30/12)+(Assumptions!$K30/12)*Assumptions!$L$45</f>
        <v>20833.333333333336</v>
      </c>
      <c r="Z91" s="221">
        <f>(Assumptions!$K30/12)+(Assumptions!$K30/12)*Assumptions!$L$45</f>
        <v>20833.333333333336</v>
      </c>
      <c r="AA91" s="221">
        <f>(Assumptions!$K30/12)+(Assumptions!$K30/12)*Assumptions!$L$45</f>
        <v>20833.333333333336</v>
      </c>
      <c r="AB91" s="221">
        <f>(Assumptions!$K30/12)+(Assumptions!$K30/12)*Assumptions!$L$45</f>
        <v>20833.333333333336</v>
      </c>
      <c r="AC91" s="221">
        <f>(Assumptions!$K30/12)+(Assumptions!$K30/12)*Assumptions!$L$45</f>
        <v>20833.333333333336</v>
      </c>
      <c r="AD91" s="221">
        <f>(Assumptions!$K30/12)+(Assumptions!$K30/12)*Assumptions!$L$45</f>
        <v>20833.333333333336</v>
      </c>
      <c r="AE91" s="221">
        <f>(Assumptions!$K30/12)+(Assumptions!$K30/12)*Assumptions!$L$45</f>
        <v>20833.333333333336</v>
      </c>
      <c r="AF91" s="221">
        <f>(Assumptions!$K30/12)+(Assumptions!$K30/12)*Assumptions!$M$45</f>
        <v>41666.666666666664</v>
      </c>
      <c r="AG91" s="221">
        <f>(Assumptions!$K30/12)+(Assumptions!$K30/12)*Assumptions!$M$45</f>
        <v>41666.666666666664</v>
      </c>
      <c r="AH91" s="221">
        <f>(Assumptions!$K30/12)+(Assumptions!$K30/12)*Assumptions!$M$45</f>
        <v>41666.666666666664</v>
      </c>
      <c r="AI91" s="221">
        <f>(Assumptions!$K30/12)+(Assumptions!$K30/12)*Assumptions!$M$45</f>
        <v>41666.666666666664</v>
      </c>
      <c r="AJ91" s="221">
        <f>(Assumptions!$K30/12)+(Assumptions!$K30/12)*Assumptions!$M$45</f>
        <v>41666.666666666664</v>
      </c>
      <c r="AK91" s="221">
        <f>(Assumptions!$K30/12)+(Assumptions!$K30/12)*Assumptions!$M$45</f>
        <v>41666.666666666664</v>
      </c>
      <c r="AL91" s="221">
        <f>(Assumptions!$K30/12)+(Assumptions!$K30/12)*Assumptions!$M$45</f>
        <v>41666.666666666664</v>
      </c>
      <c r="AM91" s="221">
        <f>(Assumptions!$K30/12)+(Assumptions!$K30/12)*Assumptions!$M$45</f>
        <v>41666.666666666664</v>
      </c>
      <c r="AN91" s="221">
        <f>(Assumptions!$K30/12)+(Assumptions!$K30/12)*Assumptions!$M$45</f>
        <v>41666.666666666664</v>
      </c>
      <c r="AO91" s="221">
        <f>(Assumptions!$K30/12)+(Assumptions!$K30/12)*Assumptions!$M$45</f>
        <v>41666.666666666664</v>
      </c>
      <c r="AP91" s="221">
        <f>(Assumptions!$K30/12)+(Assumptions!$K30/12)*Assumptions!$M$45</f>
        <v>41666.666666666664</v>
      </c>
      <c r="AQ91" s="221">
        <f>(Assumptions!$K30/12)+(Assumptions!$K30/12)*Assumptions!$M$45</f>
        <v>41666.666666666664</v>
      </c>
      <c r="AR91" s="221">
        <f>(Assumptions!$K30/12)+(Assumptions!$K30/12)*Assumptions!$N$45</f>
        <v>66666.666666666672</v>
      </c>
      <c r="AS91" s="221">
        <f>(Assumptions!$K30/12)+(Assumptions!$K30/12)*Assumptions!$N$45</f>
        <v>66666.666666666672</v>
      </c>
      <c r="AT91" s="221">
        <f>(Assumptions!$K30/12)+(Assumptions!$K30/12)*Assumptions!$N$45</f>
        <v>66666.666666666672</v>
      </c>
      <c r="AU91" s="221">
        <f>(Assumptions!$K30/12)+(Assumptions!$K30/12)*Assumptions!$N$45</f>
        <v>66666.666666666672</v>
      </c>
      <c r="AV91" s="221">
        <f>(Assumptions!$K30/12)+(Assumptions!$K30/12)*Assumptions!$N$45</f>
        <v>66666.666666666672</v>
      </c>
      <c r="AW91" s="221">
        <f>(Assumptions!$K30/12)+(Assumptions!$K30/12)*Assumptions!$N$45</f>
        <v>66666.666666666672</v>
      </c>
      <c r="AX91" s="221">
        <f>(Assumptions!$K30/12)+(Assumptions!$K30/12)*Assumptions!$N$45</f>
        <v>66666.666666666672</v>
      </c>
      <c r="AY91" s="221">
        <f>(Assumptions!$K30/12)+(Assumptions!$K30/12)*Assumptions!$N$45</f>
        <v>66666.666666666672</v>
      </c>
      <c r="AZ91" s="221">
        <f>(Assumptions!$K30/12)+(Assumptions!$K30/12)*Assumptions!$N$45</f>
        <v>66666.666666666672</v>
      </c>
      <c r="BA91" s="221">
        <f>(Assumptions!$K30/12)+(Assumptions!$K30/12)*Assumptions!$N$45</f>
        <v>66666.666666666672</v>
      </c>
      <c r="BB91" s="221">
        <f>(Assumptions!$K30/12)+(Assumptions!$K30/12)*Assumptions!$N$45</f>
        <v>66666.666666666672</v>
      </c>
      <c r="BC91" s="221">
        <f>(Assumptions!$K30/12)+(Assumptions!$K30/12)*Assumptions!$N$45</f>
        <v>66666.666666666672</v>
      </c>
      <c r="BD91" s="221">
        <f>(Assumptions!$K30/12)+(Assumptions!$K30/12)*Assumptions!$O$45</f>
        <v>95833.333333333343</v>
      </c>
      <c r="BE91" s="221">
        <f>(Assumptions!$K30/12)+(Assumptions!$K30/12)*Assumptions!$O$45</f>
        <v>95833.333333333343</v>
      </c>
      <c r="BF91" s="221">
        <f>(Assumptions!$K30/12)+(Assumptions!$K30/12)*Assumptions!$O$45</f>
        <v>95833.333333333343</v>
      </c>
      <c r="BG91" s="221">
        <f>(Assumptions!$K30/12)+(Assumptions!$K30/12)*Assumptions!$O$45</f>
        <v>95833.333333333343</v>
      </c>
      <c r="BH91" s="221">
        <f>(Assumptions!$K30/12)+(Assumptions!$K30/12)*Assumptions!$O$45</f>
        <v>95833.333333333343</v>
      </c>
      <c r="BI91" s="221">
        <f>(Assumptions!$K30/12)+(Assumptions!$K30/12)*Assumptions!$O$45</f>
        <v>95833.333333333343</v>
      </c>
      <c r="BJ91" s="221">
        <f>(Assumptions!$K30/12)+(Assumptions!$K30/12)*Assumptions!$O$45</f>
        <v>95833.333333333343</v>
      </c>
      <c r="BK91" s="221">
        <f>(Assumptions!$K30/12)+(Assumptions!$K30/12)*Assumptions!$O$45</f>
        <v>95833.333333333343</v>
      </c>
      <c r="BL91" s="221">
        <f>(Assumptions!$K30/12)+(Assumptions!$K30/12)*Assumptions!$O$45</f>
        <v>95833.333333333343</v>
      </c>
      <c r="BM91" s="221">
        <f>(Assumptions!$K30/12)+(Assumptions!$K30/12)*Assumptions!$O$45</f>
        <v>95833.333333333343</v>
      </c>
      <c r="BN91" s="221">
        <f>(Assumptions!$K30/12)+(Assumptions!$K30/12)*Assumptions!$O$45</f>
        <v>95833.333333333343</v>
      </c>
      <c r="BO91" s="221">
        <f>(Assumptions!$K30/12)+(Assumptions!$K30/12)*Assumptions!$O$45</f>
        <v>95833.333333333343</v>
      </c>
    </row>
    <row r="92" spans="1:67" x14ac:dyDescent="0.25">
      <c r="A92" s="220" t="str">
        <f>Assumptions!$J$31</f>
        <v>AWS</v>
      </c>
      <c r="B92" s="202" t="b">
        <f>(H92*12)=Assumptions!K31</f>
        <v>1</v>
      </c>
      <c r="D92" s="214">
        <f>Assumptions!$M$31/4</f>
        <v>100</v>
      </c>
      <c r="E92" s="214">
        <f>Assumptions!$M$31/4</f>
        <v>100</v>
      </c>
      <c r="F92" s="214">
        <f>Assumptions!$M$31/4</f>
        <v>100</v>
      </c>
      <c r="G92" s="214">
        <f>Assumptions!$M$31/4</f>
        <v>100</v>
      </c>
      <c r="H92" s="221">
        <f>(Assumptions!$K31/12)+(Assumptions!$K31/12)*Assumptions!$K$45</f>
        <v>4000</v>
      </c>
      <c r="I92" s="221">
        <f>(Assumptions!$K31/12)+(Assumptions!$K31/12)*Assumptions!$K$45</f>
        <v>4000</v>
      </c>
      <c r="J92" s="221">
        <f>(Assumptions!$K31/12)+(Assumptions!$K31/12)*Assumptions!$K$45</f>
        <v>4000</v>
      </c>
      <c r="K92" s="221">
        <f>(Assumptions!$K31/12)+(Assumptions!$K31/12)*Assumptions!$K$45</f>
        <v>4000</v>
      </c>
      <c r="L92" s="221">
        <f>(Assumptions!$K31/12)+(Assumptions!$K31/12)*Assumptions!$K$45</f>
        <v>4000</v>
      </c>
      <c r="M92" s="221">
        <f>(Assumptions!$K31/12)+(Assumptions!$K31/12)*Assumptions!$K$45</f>
        <v>4000</v>
      </c>
      <c r="N92" s="221">
        <f>(Assumptions!$K31/12)+(Assumptions!$K31/12)*Assumptions!$K$45</f>
        <v>4000</v>
      </c>
      <c r="O92" s="221">
        <f>(Assumptions!$K31/12)+(Assumptions!$K31/12)*Assumptions!$K$45</f>
        <v>4000</v>
      </c>
      <c r="P92" s="221">
        <f>(Assumptions!$K31/12)+(Assumptions!$K31/12)*Assumptions!$K$45</f>
        <v>4000</v>
      </c>
      <c r="Q92" s="221">
        <f>(Assumptions!$K31/12)+(Assumptions!$K31/12)*Assumptions!$K$45</f>
        <v>4000</v>
      </c>
      <c r="R92" s="221">
        <f>(Assumptions!$K31/12)+(Assumptions!$K31/12)*Assumptions!$K$45</f>
        <v>4000</v>
      </c>
      <c r="S92" s="221">
        <f>(Assumptions!$K31/12)+(Assumptions!$K31/12)*Assumptions!$K$45</f>
        <v>4000</v>
      </c>
      <c r="T92" s="221">
        <f>(Assumptions!$K31/12)+(Assumptions!$K31/12)*Assumptions!$L$45</f>
        <v>20000</v>
      </c>
      <c r="U92" s="221">
        <f>(Assumptions!$K31/12)+(Assumptions!$K31/12)*Assumptions!$L$45</f>
        <v>20000</v>
      </c>
      <c r="V92" s="221">
        <f>(Assumptions!$K31/12)+(Assumptions!$K31/12)*Assumptions!$L$45</f>
        <v>20000</v>
      </c>
      <c r="W92" s="221">
        <f>(Assumptions!$K31/12)+(Assumptions!$K31/12)*Assumptions!$L$45</f>
        <v>20000</v>
      </c>
      <c r="X92" s="221">
        <f>(Assumptions!$K31/12)+(Assumptions!$K31/12)*Assumptions!$L$45</f>
        <v>20000</v>
      </c>
      <c r="Y92" s="221">
        <f>(Assumptions!$K31/12)+(Assumptions!$K31/12)*Assumptions!$L$45</f>
        <v>20000</v>
      </c>
      <c r="Z92" s="221">
        <f>(Assumptions!$K31/12)+(Assumptions!$K31/12)*Assumptions!$L$45</f>
        <v>20000</v>
      </c>
      <c r="AA92" s="221">
        <f>(Assumptions!$K31/12)+(Assumptions!$K31/12)*Assumptions!$L$45</f>
        <v>20000</v>
      </c>
      <c r="AB92" s="221">
        <f>(Assumptions!$K31/12)+(Assumptions!$K31/12)*Assumptions!$L$45</f>
        <v>20000</v>
      </c>
      <c r="AC92" s="221">
        <f>(Assumptions!$K31/12)+(Assumptions!$K31/12)*Assumptions!$L$45</f>
        <v>20000</v>
      </c>
      <c r="AD92" s="221">
        <f>(Assumptions!$K31/12)+(Assumptions!$K31/12)*Assumptions!$L$45</f>
        <v>20000</v>
      </c>
      <c r="AE92" s="221">
        <f>(Assumptions!$K31/12)+(Assumptions!$K31/12)*Assumptions!$L$45</f>
        <v>20000</v>
      </c>
      <c r="AF92" s="221">
        <f>(Assumptions!$K31/12)+(Assumptions!$K31/12)*Assumptions!$M$45</f>
        <v>40000</v>
      </c>
      <c r="AG92" s="221">
        <f>(Assumptions!$K31/12)+(Assumptions!$K31/12)*Assumptions!$M$45</f>
        <v>40000</v>
      </c>
      <c r="AH92" s="221">
        <f>(Assumptions!$K31/12)+(Assumptions!$K31/12)*Assumptions!$M$45</f>
        <v>40000</v>
      </c>
      <c r="AI92" s="221">
        <f>(Assumptions!$K31/12)+(Assumptions!$K31/12)*Assumptions!$M$45</f>
        <v>40000</v>
      </c>
      <c r="AJ92" s="221">
        <f>(Assumptions!$K31/12)+(Assumptions!$K31/12)*Assumptions!$M$45</f>
        <v>40000</v>
      </c>
      <c r="AK92" s="221">
        <f>(Assumptions!$K31/12)+(Assumptions!$K31/12)*Assumptions!$M$45</f>
        <v>40000</v>
      </c>
      <c r="AL92" s="221">
        <f>(Assumptions!$K31/12)+(Assumptions!$K31/12)*Assumptions!$M$45</f>
        <v>40000</v>
      </c>
      <c r="AM92" s="221">
        <f>(Assumptions!$K31/12)+(Assumptions!$K31/12)*Assumptions!$M$45</f>
        <v>40000</v>
      </c>
      <c r="AN92" s="221">
        <f>(Assumptions!$K31/12)+(Assumptions!$K31/12)*Assumptions!$M$45</f>
        <v>40000</v>
      </c>
      <c r="AO92" s="221">
        <f>(Assumptions!$K31/12)+(Assumptions!$K31/12)*Assumptions!$M$45</f>
        <v>40000</v>
      </c>
      <c r="AP92" s="221">
        <f>(Assumptions!$K31/12)+(Assumptions!$K31/12)*Assumptions!$M$45</f>
        <v>40000</v>
      </c>
      <c r="AQ92" s="221">
        <f>(Assumptions!$K31/12)+(Assumptions!$K31/12)*Assumptions!$M$45</f>
        <v>40000</v>
      </c>
      <c r="AR92" s="221">
        <f>(Assumptions!$K31/12)+(Assumptions!$K31/12)*Assumptions!$N$45</f>
        <v>64000</v>
      </c>
      <c r="AS92" s="221">
        <f>(Assumptions!$K31/12)+(Assumptions!$K31/12)*Assumptions!$N$45</f>
        <v>64000</v>
      </c>
      <c r="AT92" s="221">
        <f>(Assumptions!$K31/12)+(Assumptions!$K31/12)*Assumptions!$N$45</f>
        <v>64000</v>
      </c>
      <c r="AU92" s="221">
        <f>(Assumptions!$K31/12)+(Assumptions!$K31/12)*Assumptions!$N$45</f>
        <v>64000</v>
      </c>
      <c r="AV92" s="221">
        <f>(Assumptions!$K31/12)+(Assumptions!$K31/12)*Assumptions!$N$45</f>
        <v>64000</v>
      </c>
      <c r="AW92" s="221">
        <f>(Assumptions!$K31/12)+(Assumptions!$K31/12)*Assumptions!$N$45</f>
        <v>64000</v>
      </c>
      <c r="AX92" s="221">
        <f>(Assumptions!$K31/12)+(Assumptions!$K31/12)*Assumptions!$N$45</f>
        <v>64000</v>
      </c>
      <c r="AY92" s="221">
        <f>(Assumptions!$K31/12)+(Assumptions!$K31/12)*Assumptions!$N$45</f>
        <v>64000</v>
      </c>
      <c r="AZ92" s="221">
        <f>(Assumptions!$K31/12)+(Assumptions!$K31/12)*Assumptions!$N$45</f>
        <v>64000</v>
      </c>
      <c r="BA92" s="221">
        <f>(Assumptions!$K31/12)+(Assumptions!$K31/12)*Assumptions!$N$45</f>
        <v>64000</v>
      </c>
      <c r="BB92" s="221">
        <f>(Assumptions!$K31/12)+(Assumptions!$K31/12)*Assumptions!$N$45</f>
        <v>64000</v>
      </c>
      <c r="BC92" s="221">
        <f>(Assumptions!$K31/12)+(Assumptions!$K31/12)*Assumptions!$N$45</f>
        <v>64000</v>
      </c>
      <c r="BD92" s="221">
        <f>(Assumptions!$K31/12)+(Assumptions!$K31/12)*Assumptions!$O$45</f>
        <v>92000</v>
      </c>
      <c r="BE92" s="221">
        <f>(Assumptions!$K31/12)+(Assumptions!$K31/12)*Assumptions!$O$45</f>
        <v>92000</v>
      </c>
      <c r="BF92" s="221">
        <f>(Assumptions!$K31/12)+(Assumptions!$K31/12)*Assumptions!$O$45</f>
        <v>92000</v>
      </c>
      <c r="BG92" s="221">
        <f>(Assumptions!$K31/12)+(Assumptions!$K31/12)*Assumptions!$O$45</f>
        <v>92000</v>
      </c>
      <c r="BH92" s="221">
        <f>(Assumptions!$K31/12)+(Assumptions!$K31/12)*Assumptions!$O$45</f>
        <v>92000</v>
      </c>
      <c r="BI92" s="221">
        <f>(Assumptions!$K31/12)+(Assumptions!$K31/12)*Assumptions!$O$45</f>
        <v>92000</v>
      </c>
      <c r="BJ92" s="221">
        <f>(Assumptions!$K31/12)+(Assumptions!$K31/12)*Assumptions!$O$45</f>
        <v>92000</v>
      </c>
      <c r="BK92" s="221">
        <f>(Assumptions!$K31/12)+(Assumptions!$K31/12)*Assumptions!$O$45</f>
        <v>92000</v>
      </c>
      <c r="BL92" s="221">
        <f>(Assumptions!$K31/12)+(Assumptions!$K31/12)*Assumptions!$O$45</f>
        <v>92000</v>
      </c>
      <c r="BM92" s="221">
        <f>(Assumptions!$K31/12)+(Assumptions!$K31/12)*Assumptions!$O$45</f>
        <v>92000</v>
      </c>
      <c r="BN92" s="221">
        <f>(Assumptions!$K31/12)+(Assumptions!$K31/12)*Assumptions!$O$45</f>
        <v>92000</v>
      </c>
      <c r="BO92" s="221">
        <f>(Assumptions!$K31/12)+(Assumptions!$K31/12)*Assumptions!$O$45</f>
        <v>92000</v>
      </c>
    </row>
    <row r="93" spans="1:67" x14ac:dyDescent="0.25">
      <c r="A93" s="213" t="str">
        <f>Assumptions!$J$32</f>
        <v>Office Space</v>
      </c>
      <c r="B93" s="202" t="b">
        <f>(H93*12)=Assumptions!K32</f>
        <v>1</v>
      </c>
      <c r="D93" s="214">
        <f>Assumptions!$M$32/4</f>
        <v>4500</v>
      </c>
      <c r="E93" s="214">
        <f>Assumptions!$M$32/4</f>
        <v>4500</v>
      </c>
      <c r="F93" s="214">
        <f>Assumptions!$M$32/4</f>
        <v>4500</v>
      </c>
      <c r="G93" s="214">
        <f>Assumptions!$M$32/4</f>
        <v>4500</v>
      </c>
      <c r="H93" s="51">
        <f>(Assumptions!$K32/12)+(Assumptions!$K32/12)*Assumptions!$K$48</f>
        <v>10000</v>
      </c>
      <c r="I93" s="51">
        <f>(Assumptions!$K32/12)+(Assumptions!$K32/12)*Assumptions!$K$48</f>
        <v>10000</v>
      </c>
      <c r="J93" s="51">
        <f>(Assumptions!$K32/12)+(Assumptions!$K32/12)*Assumptions!$K$48</f>
        <v>10000</v>
      </c>
      <c r="K93" s="51">
        <f>(Assumptions!$K32/12)+(Assumptions!$K32/12)*Assumptions!$K$48</f>
        <v>10000</v>
      </c>
      <c r="L93" s="51">
        <f>(Assumptions!$K32/12)+(Assumptions!$K32/12)*Assumptions!$K$48</f>
        <v>10000</v>
      </c>
      <c r="M93" s="51">
        <f>(Assumptions!$K32/12)+(Assumptions!$K32/12)*Assumptions!$K$48</f>
        <v>10000</v>
      </c>
      <c r="N93" s="51">
        <f>(Assumptions!$K32/12)+(Assumptions!$K32/12)*Assumptions!$K$48</f>
        <v>10000</v>
      </c>
      <c r="O93" s="51">
        <f>(Assumptions!$K32/12)+(Assumptions!$K32/12)*Assumptions!$K$48</f>
        <v>10000</v>
      </c>
      <c r="P93" s="51">
        <f>(Assumptions!$K32/12)+(Assumptions!$K32/12)*Assumptions!$K$48</f>
        <v>10000</v>
      </c>
      <c r="Q93" s="51">
        <f>(Assumptions!$K32/12)+(Assumptions!$K32/12)*Assumptions!$K$48</f>
        <v>10000</v>
      </c>
      <c r="R93" s="51">
        <f>(Assumptions!$K32/12)+(Assumptions!$K32/12)*Assumptions!$K$48</f>
        <v>10000</v>
      </c>
      <c r="S93" s="51">
        <f>(Assumptions!$K32/12)+(Assumptions!$K32/12)*Assumptions!$K$48</f>
        <v>10000</v>
      </c>
      <c r="T93" s="51">
        <f>(Assumptions!$K32/12)+(Assumptions!$K32/12)*Assumptions!$L$48</f>
        <v>12500</v>
      </c>
      <c r="U93" s="51">
        <f>(Assumptions!$K32/12)+(Assumptions!$K32/12)*Assumptions!$L$48</f>
        <v>12500</v>
      </c>
      <c r="V93" s="51">
        <f>(Assumptions!$K32/12)+(Assumptions!$K32/12)*Assumptions!$L$48</f>
        <v>12500</v>
      </c>
      <c r="W93" s="51">
        <f>(Assumptions!$K32/12)+(Assumptions!$K32/12)*Assumptions!$L$48</f>
        <v>12500</v>
      </c>
      <c r="X93" s="51">
        <f>(Assumptions!$K32/12)+(Assumptions!$K32/12)*Assumptions!$L$48</f>
        <v>12500</v>
      </c>
      <c r="Y93" s="51">
        <f>(Assumptions!$K32/12)+(Assumptions!$K32/12)*Assumptions!$L$48</f>
        <v>12500</v>
      </c>
      <c r="Z93" s="51">
        <f>(Assumptions!$K32/12)+(Assumptions!$K32/12)*Assumptions!$L$48</f>
        <v>12500</v>
      </c>
      <c r="AA93" s="51">
        <f>(Assumptions!$K32/12)+(Assumptions!$K32/12)*Assumptions!$L$48</f>
        <v>12500</v>
      </c>
      <c r="AB93" s="51">
        <f>(Assumptions!$K32/12)+(Assumptions!$K32/12)*Assumptions!$L$48</f>
        <v>12500</v>
      </c>
      <c r="AC93" s="51">
        <f>(Assumptions!$K32/12)+(Assumptions!$K32/12)*Assumptions!$L$48</f>
        <v>12500</v>
      </c>
      <c r="AD93" s="51">
        <f>(Assumptions!$K32/12)+(Assumptions!$K32/12)*Assumptions!$L$48</f>
        <v>12500</v>
      </c>
      <c r="AE93" s="51">
        <f>(Assumptions!$K32/12)+(Assumptions!$K32/12)*Assumptions!$L$48</f>
        <v>12500</v>
      </c>
      <c r="AF93" s="51">
        <f>(Assumptions!$K32/12)+(Assumptions!$K32/12)*Assumptions!$M$48</f>
        <v>16000</v>
      </c>
      <c r="AG93" s="51">
        <f>(Assumptions!$K32/12)+(Assumptions!$K32/12)*Assumptions!$M$48</f>
        <v>16000</v>
      </c>
      <c r="AH93" s="51">
        <f>(Assumptions!$K32/12)+(Assumptions!$K32/12)*Assumptions!$M$48</f>
        <v>16000</v>
      </c>
      <c r="AI93" s="51">
        <f>(Assumptions!$K32/12)+(Assumptions!$K32/12)*Assumptions!$M$48</f>
        <v>16000</v>
      </c>
      <c r="AJ93" s="51">
        <f>(Assumptions!$K32/12)+(Assumptions!$K32/12)*Assumptions!$M$48</f>
        <v>16000</v>
      </c>
      <c r="AK93" s="51">
        <f>(Assumptions!$K32/12)+(Assumptions!$K32/12)*Assumptions!$M$48</f>
        <v>16000</v>
      </c>
      <c r="AL93" s="51">
        <f>(Assumptions!$K32/12)+(Assumptions!$K32/12)*Assumptions!$M$48</f>
        <v>16000</v>
      </c>
      <c r="AM93" s="51">
        <f>(Assumptions!$K32/12)+(Assumptions!$K32/12)*Assumptions!$M$48</f>
        <v>16000</v>
      </c>
      <c r="AN93" s="51">
        <f>(Assumptions!$K32/12)+(Assumptions!$K32/12)*Assumptions!$M$48</f>
        <v>16000</v>
      </c>
      <c r="AO93" s="51">
        <f>(Assumptions!$K32/12)+(Assumptions!$K32/12)*Assumptions!$M$48</f>
        <v>16000</v>
      </c>
      <c r="AP93" s="51">
        <f>(Assumptions!$K32/12)+(Assumptions!$K32/12)*Assumptions!$M$48</f>
        <v>16000</v>
      </c>
      <c r="AQ93" s="51">
        <f>(Assumptions!$K32/12)+(Assumptions!$K32/12)*Assumptions!$M$48</f>
        <v>16000</v>
      </c>
      <c r="AR93" s="51">
        <f>(Assumptions!$K32/12)+(Assumptions!$K32/12)*Assumptions!$N$48</f>
        <v>23000</v>
      </c>
      <c r="AS93" s="51">
        <f>(Assumptions!$K32/12)+(Assumptions!$K32/12)*Assumptions!$N$48</f>
        <v>23000</v>
      </c>
      <c r="AT93" s="51">
        <f>(Assumptions!$K32/12)+(Assumptions!$K32/12)*Assumptions!$N$48</f>
        <v>23000</v>
      </c>
      <c r="AU93" s="51">
        <f>(Assumptions!$K32/12)+(Assumptions!$K32/12)*Assumptions!$N$48</f>
        <v>23000</v>
      </c>
      <c r="AV93" s="51">
        <f>(Assumptions!$K32/12)+(Assumptions!$K32/12)*Assumptions!$N$48</f>
        <v>23000</v>
      </c>
      <c r="AW93" s="51">
        <f>(Assumptions!$K32/12)+(Assumptions!$K32/12)*Assumptions!$N$48</f>
        <v>23000</v>
      </c>
      <c r="AX93" s="51">
        <f>(Assumptions!$K32/12)+(Assumptions!$K32/12)*Assumptions!$N$48</f>
        <v>23000</v>
      </c>
      <c r="AY93" s="51">
        <f>(Assumptions!$K32/12)+(Assumptions!$K32/12)*Assumptions!$N$48</f>
        <v>23000</v>
      </c>
      <c r="AZ93" s="51">
        <f>(Assumptions!$K32/12)+(Assumptions!$K32/12)*Assumptions!$N$48</f>
        <v>23000</v>
      </c>
      <c r="BA93" s="51">
        <f>(Assumptions!$K32/12)+(Assumptions!$K32/12)*Assumptions!$N$48</f>
        <v>23000</v>
      </c>
      <c r="BB93" s="51">
        <f>(Assumptions!$K32/12)+(Assumptions!$K32/12)*Assumptions!$N$48</f>
        <v>23000</v>
      </c>
      <c r="BC93" s="51">
        <f>(Assumptions!$K32/12)+(Assumptions!$K32/12)*Assumptions!$N$48</f>
        <v>23000</v>
      </c>
      <c r="BD93" s="51">
        <f>(Assumptions!$K32/12)+(Assumptions!$K32/12)*Assumptions!$O$48</f>
        <v>30000</v>
      </c>
      <c r="BE93" s="51">
        <f>(Assumptions!$K32/12)+(Assumptions!$K32/12)*Assumptions!$O$48</f>
        <v>30000</v>
      </c>
      <c r="BF93" s="51">
        <f>(Assumptions!$K32/12)+(Assumptions!$K32/12)*Assumptions!$O$48</f>
        <v>30000</v>
      </c>
      <c r="BG93" s="51">
        <f>(Assumptions!$K32/12)+(Assumptions!$K32/12)*Assumptions!$O$48</f>
        <v>30000</v>
      </c>
      <c r="BH93" s="51">
        <f>(Assumptions!$K32/12)+(Assumptions!$K32/12)*Assumptions!$O$48</f>
        <v>30000</v>
      </c>
      <c r="BI93" s="51">
        <f>(Assumptions!$K32/12)+(Assumptions!$K32/12)*Assumptions!$O$48</f>
        <v>30000</v>
      </c>
      <c r="BJ93" s="51">
        <f>(Assumptions!$K32/12)+(Assumptions!$K32/12)*Assumptions!$O$48</f>
        <v>30000</v>
      </c>
      <c r="BK93" s="51">
        <f>(Assumptions!$K32/12)+(Assumptions!$K32/12)*Assumptions!$O$48</f>
        <v>30000</v>
      </c>
      <c r="BL93" s="51">
        <f>(Assumptions!$K32/12)+(Assumptions!$K32/12)*Assumptions!$O$48</f>
        <v>30000</v>
      </c>
      <c r="BM93" s="51">
        <f>(Assumptions!$K32/12)+(Assumptions!$K32/12)*Assumptions!$O$48</f>
        <v>30000</v>
      </c>
      <c r="BN93" s="51">
        <f>(Assumptions!$K32/12)+(Assumptions!$K32/12)*Assumptions!$O$48</f>
        <v>30000</v>
      </c>
      <c r="BO93" s="51">
        <f>(Assumptions!$K32/12)+(Assumptions!$K32/12)*Assumptions!$O$48</f>
        <v>30000</v>
      </c>
    </row>
    <row r="94" spans="1:67" x14ac:dyDescent="0.25">
      <c r="A94" s="213" t="str">
        <f>Assumptions!$J$33</f>
        <v>Miscellaneous</v>
      </c>
      <c r="B94" s="202"/>
      <c r="D94" s="214">
        <f>Assumptions!$M$33/4</f>
        <v>1000</v>
      </c>
      <c r="E94" s="214">
        <f>Assumptions!$M$33/4</f>
        <v>1000</v>
      </c>
      <c r="F94" s="214">
        <f>Assumptions!$M$33/4</f>
        <v>1000</v>
      </c>
      <c r="G94" s="214">
        <f>Assumptions!$M$33/4</f>
        <v>1000</v>
      </c>
      <c r="H94" s="51">
        <f>(Assumptions!$K33/12)+(Assumptions!$K33/12)*Assumptions!$K$48</f>
        <v>1000</v>
      </c>
      <c r="I94" s="51">
        <f>(Assumptions!$K33/12)+(Assumptions!$K33/12)*Assumptions!$K$48</f>
        <v>1000</v>
      </c>
      <c r="J94" s="51">
        <f>(Assumptions!$K33/12)+(Assumptions!$K33/12)*Assumptions!$K$48</f>
        <v>1000</v>
      </c>
      <c r="K94" s="51">
        <f>(Assumptions!$K33/12)+(Assumptions!$K33/12)*Assumptions!$K$48</f>
        <v>1000</v>
      </c>
      <c r="L94" s="51">
        <f>(Assumptions!$K33/12)+(Assumptions!$K33/12)*Assumptions!$K$48</f>
        <v>1000</v>
      </c>
      <c r="M94" s="51">
        <f>(Assumptions!$K33/12)+(Assumptions!$K33/12)*Assumptions!$K$48</f>
        <v>1000</v>
      </c>
      <c r="N94" s="51">
        <f>(Assumptions!$K33/12)+(Assumptions!$K33/12)*Assumptions!$K$48</f>
        <v>1000</v>
      </c>
      <c r="O94" s="51">
        <f>(Assumptions!$K33/12)+(Assumptions!$K33/12)*Assumptions!$K$48</f>
        <v>1000</v>
      </c>
      <c r="P94" s="51">
        <f>(Assumptions!$K33/12)+(Assumptions!$K33/12)*Assumptions!$K$48</f>
        <v>1000</v>
      </c>
      <c r="Q94" s="51">
        <f>(Assumptions!$K33/12)+(Assumptions!$K33/12)*Assumptions!$K$48</f>
        <v>1000</v>
      </c>
      <c r="R94" s="51">
        <f>(Assumptions!$K33/12)+(Assumptions!$K33/12)*Assumptions!$K$48</f>
        <v>1000</v>
      </c>
      <c r="S94" s="51">
        <f>(Assumptions!$K33/12)+(Assumptions!$K33/12)*Assumptions!$K$48</f>
        <v>1000</v>
      </c>
      <c r="T94" s="51">
        <f>(Assumptions!$K33/12)+(Assumptions!$K33/12)*Assumptions!$L$48</f>
        <v>1250</v>
      </c>
      <c r="U94" s="51">
        <f>(Assumptions!$K33/12)+(Assumptions!$K33/12)*Assumptions!$L$48</f>
        <v>1250</v>
      </c>
      <c r="V94" s="51">
        <f>(Assumptions!$K33/12)+(Assumptions!$K33/12)*Assumptions!$L$48</f>
        <v>1250</v>
      </c>
      <c r="W94" s="51">
        <f>(Assumptions!$K33/12)+(Assumptions!$K33/12)*Assumptions!$L$48</f>
        <v>1250</v>
      </c>
      <c r="X94" s="51">
        <f>(Assumptions!$K33/12)+(Assumptions!$K33/12)*Assumptions!$L$48</f>
        <v>1250</v>
      </c>
      <c r="Y94" s="51">
        <f>(Assumptions!$K33/12)+(Assumptions!$K33/12)*Assumptions!$L$48</f>
        <v>1250</v>
      </c>
      <c r="Z94" s="51">
        <f>(Assumptions!$K33/12)+(Assumptions!$K33/12)*Assumptions!$L$48</f>
        <v>1250</v>
      </c>
      <c r="AA94" s="51">
        <f>(Assumptions!$K33/12)+(Assumptions!$K33/12)*Assumptions!$L$48</f>
        <v>1250</v>
      </c>
      <c r="AB94" s="51">
        <f>(Assumptions!$K33/12)+(Assumptions!$K33/12)*Assumptions!$L$48</f>
        <v>1250</v>
      </c>
      <c r="AC94" s="51">
        <f>(Assumptions!$K33/12)+(Assumptions!$K33/12)*Assumptions!$L$48</f>
        <v>1250</v>
      </c>
      <c r="AD94" s="51">
        <f>(Assumptions!$K33/12)+(Assumptions!$K33/12)*Assumptions!$L$48</f>
        <v>1250</v>
      </c>
      <c r="AE94" s="51">
        <f>(Assumptions!$K33/12)+(Assumptions!$K33/12)*Assumptions!$L$48</f>
        <v>1250</v>
      </c>
      <c r="AF94" s="51">
        <f>(Assumptions!$K33/12)+(Assumptions!$K33/12)*Assumptions!$M$48</f>
        <v>1600</v>
      </c>
      <c r="AG94" s="51">
        <f>(Assumptions!$K33/12)+(Assumptions!$K33/12)*Assumptions!$M$48</f>
        <v>1600</v>
      </c>
      <c r="AH94" s="51">
        <f>(Assumptions!$K33/12)+(Assumptions!$K33/12)*Assumptions!$M$48</f>
        <v>1600</v>
      </c>
      <c r="AI94" s="51">
        <f>(Assumptions!$K33/12)+(Assumptions!$K33/12)*Assumptions!$M$48</f>
        <v>1600</v>
      </c>
      <c r="AJ94" s="51">
        <f>(Assumptions!$K33/12)+(Assumptions!$K33/12)*Assumptions!$M$48</f>
        <v>1600</v>
      </c>
      <c r="AK94" s="51">
        <f>(Assumptions!$K33/12)+(Assumptions!$K33/12)*Assumptions!$M$48</f>
        <v>1600</v>
      </c>
      <c r="AL94" s="51">
        <f>(Assumptions!$K33/12)+(Assumptions!$K33/12)*Assumptions!$M$48</f>
        <v>1600</v>
      </c>
      <c r="AM94" s="51">
        <f>(Assumptions!$K33/12)+(Assumptions!$K33/12)*Assumptions!$M$48</f>
        <v>1600</v>
      </c>
      <c r="AN94" s="51">
        <f>(Assumptions!$K33/12)+(Assumptions!$K33/12)*Assumptions!$M$48</f>
        <v>1600</v>
      </c>
      <c r="AO94" s="51">
        <f>(Assumptions!$K33/12)+(Assumptions!$K33/12)*Assumptions!$M$48</f>
        <v>1600</v>
      </c>
      <c r="AP94" s="51">
        <f>(Assumptions!$K33/12)+(Assumptions!$K33/12)*Assumptions!$M$48</f>
        <v>1600</v>
      </c>
      <c r="AQ94" s="51">
        <f>(Assumptions!$K33/12)+(Assumptions!$K33/12)*Assumptions!$M$48</f>
        <v>1600</v>
      </c>
      <c r="AR94" s="51">
        <f>(Assumptions!$K33/12)+(Assumptions!$K33/12)*Assumptions!$N$48</f>
        <v>2300</v>
      </c>
      <c r="AS94" s="51">
        <f>(Assumptions!$K33/12)+(Assumptions!$K33/12)*Assumptions!$N$48</f>
        <v>2300</v>
      </c>
      <c r="AT94" s="51">
        <f>(Assumptions!$K33/12)+(Assumptions!$K33/12)*Assumptions!$N$48</f>
        <v>2300</v>
      </c>
      <c r="AU94" s="51">
        <f>(Assumptions!$K33/12)+(Assumptions!$K33/12)*Assumptions!$N$48</f>
        <v>2300</v>
      </c>
      <c r="AV94" s="51">
        <f>(Assumptions!$K33/12)+(Assumptions!$K33/12)*Assumptions!$N$48</f>
        <v>2300</v>
      </c>
      <c r="AW94" s="51">
        <f>(Assumptions!$K33/12)+(Assumptions!$K33/12)*Assumptions!$N$48</f>
        <v>2300</v>
      </c>
      <c r="AX94" s="51">
        <f>(Assumptions!$K33/12)+(Assumptions!$K33/12)*Assumptions!$N$48</f>
        <v>2300</v>
      </c>
      <c r="AY94" s="51">
        <f>(Assumptions!$K33/12)+(Assumptions!$K33/12)*Assumptions!$N$48</f>
        <v>2300</v>
      </c>
      <c r="AZ94" s="51">
        <f>(Assumptions!$K33/12)+(Assumptions!$K33/12)*Assumptions!$N$48</f>
        <v>2300</v>
      </c>
      <c r="BA94" s="51">
        <f>(Assumptions!$K33/12)+(Assumptions!$K33/12)*Assumptions!$N$48</f>
        <v>2300</v>
      </c>
      <c r="BB94" s="51">
        <f>(Assumptions!$K33/12)+(Assumptions!$K33/12)*Assumptions!$N$48</f>
        <v>2300</v>
      </c>
      <c r="BC94" s="51">
        <f>(Assumptions!$K33/12)+(Assumptions!$K33/12)*Assumptions!$N$48</f>
        <v>2300</v>
      </c>
      <c r="BD94" s="51">
        <f>(Assumptions!$K33/12)+(Assumptions!$K33/12)*Assumptions!$O$48</f>
        <v>3000</v>
      </c>
      <c r="BE94" s="51">
        <f>(Assumptions!$K33/12)+(Assumptions!$K33/12)*Assumptions!$O$48</f>
        <v>3000</v>
      </c>
      <c r="BF94" s="51">
        <f>(Assumptions!$K33/12)+(Assumptions!$K33/12)*Assumptions!$O$48</f>
        <v>3000</v>
      </c>
      <c r="BG94" s="51">
        <f>(Assumptions!$K33/12)+(Assumptions!$K33/12)*Assumptions!$O$48</f>
        <v>3000</v>
      </c>
      <c r="BH94" s="51">
        <f>(Assumptions!$K33/12)+(Assumptions!$K33/12)*Assumptions!$O$48</f>
        <v>3000</v>
      </c>
      <c r="BI94" s="51">
        <f>(Assumptions!$K33/12)+(Assumptions!$K33/12)*Assumptions!$O$48</f>
        <v>3000</v>
      </c>
      <c r="BJ94" s="51">
        <f>(Assumptions!$K33/12)+(Assumptions!$K33/12)*Assumptions!$O$48</f>
        <v>3000</v>
      </c>
      <c r="BK94" s="51">
        <f>(Assumptions!$K33/12)+(Assumptions!$K33/12)*Assumptions!$O$48</f>
        <v>3000</v>
      </c>
      <c r="BL94" s="51">
        <f>(Assumptions!$K33/12)+(Assumptions!$K33/12)*Assumptions!$O$48</f>
        <v>3000</v>
      </c>
      <c r="BM94" s="51">
        <f>(Assumptions!$K33/12)+(Assumptions!$K33/12)*Assumptions!$O$48</f>
        <v>3000</v>
      </c>
      <c r="BN94" s="51">
        <f>(Assumptions!$K33/12)+(Assumptions!$K33/12)*Assumptions!$O$48</f>
        <v>3000</v>
      </c>
      <c r="BO94" s="51">
        <f>(Assumptions!$K33/12)+(Assumptions!$K33/12)*Assumptions!$O$48</f>
        <v>3000</v>
      </c>
    </row>
    <row r="95" spans="1:67" s="25" customFormat="1" x14ac:dyDescent="0.25">
      <c r="A95" s="25" t="s">
        <v>243</v>
      </c>
      <c r="B95" s="202">
        <f>MAX(D95:AQ95)</f>
        <v>194600</v>
      </c>
      <c r="D95" s="25">
        <f>SUM(D87:D94)</f>
        <v>10000</v>
      </c>
      <c r="E95" s="25">
        <f t="shared" ref="E95:BO95" si="25">SUM(E87:E94)</f>
        <v>10000</v>
      </c>
      <c r="F95" s="25">
        <f t="shared" si="25"/>
        <v>10000</v>
      </c>
      <c r="G95" s="25">
        <f t="shared" si="25"/>
        <v>10000</v>
      </c>
      <c r="H95" s="25">
        <f t="shared" si="25"/>
        <v>36500</v>
      </c>
      <c r="I95" s="25">
        <f t="shared" si="25"/>
        <v>38500</v>
      </c>
      <c r="J95" s="25">
        <f t="shared" si="25"/>
        <v>40500</v>
      </c>
      <c r="K95" s="25">
        <f t="shared" si="25"/>
        <v>42500</v>
      </c>
      <c r="L95" s="25">
        <f t="shared" si="25"/>
        <v>44500</v>
      </c>
      <c r="M95" s="25">
        <f t="shared" si="25"/>
        <v>46500</v>
      </c>
      <c r="N95" s="25">
        <f t="shared" si="25"/>
        <v>48500</v>
      </c>
      <c r="O95" s="25">
        <f t="shared" si="25"/>
        <v>50500</v>
      </c>
      <c r="P95" s="25">
        <f t="shared" si="25"/>
        <v>52500</v>
      </c>
      <c r="Q95" s="25">
        <f t="shared" si="25"/>
        <v>54500</v>
      </c>
      <c r="R95" s="25">
        <f t="shared" si="25"/>
        <v>56500</v>
      </c>
      <c r="S95" s="25">
        <f t="shared" si="25"/>
        <v>58500</v>
      </c>
      <c r="T95" s="25">
        <f t="shared" si="25"/>
        <v>99250</v>
      </c>
      <c r="U95" s="25">
        <f t="shared" si="25"/>
        <v>101250</v>
      </c>
      <c r="V95" s="25">
        <f t="shared" si="25"/>
        <v>103250</v>
      </c>
      <c r="W95" s="25">
        <f t="shared" si="25"/>
        <v>105250</v>
      </c>
      <c r="X95" s="25">
        <f t="shared" si="25"/>
        <v>107250</v>
      </c>
      <c r="Y95" s="25">
        <f t="shared" si="25"/>
        <v>109250</v>
      </c>
      <c r="Z95" s="25">
        <f t="shared" si="25"/>
        <v>111250</v>
      </c>
      <c r="AA95" s="25">
        <f t="shared" si="25"/>
        <v>113250</v>
      </c>
      <c r="AB95" s="25">
        <f t="shared" si="25"/>
        <v>115250</v>
      </c>
      <c r="AC95" s="25">
        <f t="shared" si="25"/>
        <v>117250</v>
      </c>
      <c r="AD95" s="25">
        <f t="shared" si="25"/>
        <v>119250</v>
      </c>
      <c r="AE95" s="25">
        <f t="shared" si="25"/>
        <v>121250</v>
      </c>
      <c r="AF95" s="25">
        <f t="shared" si="25"/>
        <v>172600</v>
      </c>
      <c r="AG95" s="25">
        <f t="shared" si="25"/>
        <v>174600</v>
      </c>
      <c r="AH95" s="25">
        <f t="shared" si="25"/>
        <v>176600</v>
      </c>
      <c r="AI95" s="25">
        <f t="shared" si="25"/>
        <v>178600</v>
      </c>
      <c r="AJ95" s="25">
        <f t="shared" si="25"/>
        <v>180600</v>
      </c>
      <c r="AK95" s="25">
        <f t="shared" si="25"/>
        <v>182600</v>
      </c>
      <c r="AL95" s="25">
        <f t="shared" si="25"/>
        <v>184600</v>
      </c>
      <c r="AM95" s="25">
        <f t="shared" si="25"/>
        <v>186600</v>
      </c>
      <c r="AN95" s="25">
        <f t="shared" si="25"/>
        <v>188600</v>
      </c>
      <c r="AO95" s="25">
        <f t="shared" si="25"/>
        <v>190600</v>
      </c>
      <c r="AP95" s="25">
        <f t="shared" si="25"/>
        <v>192600</v>
      </c>
      <c r="AQ95" s="25">
        <f t="shared" si="25"/>
        <v>194600</v>
      </c>
      <c r="AR95" s="25">
        <f t="shared" si="25"/>
        <v>262633.33333333337</v>
      </c>
      <c r="AS95" s="25">
        <f t="shared" si="25"/>
        <v>264633.33333333337</v>
      </c>
      <c r="AT95" s="25">
        <f t="shared" si="25"/>
        <v>266633.33333333337</v>
      </c>
      <c r="AU95" s="25">
        <f t="shared" si="25"/>
        <v>268633.33333333337</v>
      </c>
      <c r="AV95" s="25">
        <f t="shared" si="25"/>
        <v>270633.33333333337</v>
      </c>
      <c r="AW95" s="25">
        <f t="shared" si="25"/>
        <v>272633.33333333337</v>
      </c>
      <c r="AX95" s="25">
        <f t="shared" si="25"/>
        <v>274633.33333333337</v>
      </c>
      <c r="AY95" s="25">
        <f t="shared" si="25"/>
        <v>276633.33333333337</v>
      </c>
      <c r="AZ95" s="25">
        <f t="shared" si="25"/>
        <v>278633.33333333337</v>
      </c>
      <c r="BA95" s="25">
        <f t="shared" si="25"/>
        <v>280633.33333333337</v>
      </c>
      <c r="BB95" s="25">
        <f t="shared" si="25"/>
        <v>282633.33333333337</v>
      </c>
      <c r="BC95" s="25">
        <f t="shared" si="25"/>
        <v>284633.33333333337</v>
      </c>
      <c r="BD95" s="25">
        <f t="shared" si="25"/>
        <v>360833.33333333337</v>
      </c>
      <c r="BE95" s="25">
        <f t="shared" si="25"/>
        <v>362833.33333333337</v>
      </c>
      <c r="BF95" s="25">
        <f t="shared" si="25"/>
        <v>364833.33333333337</v>
      </c>
      <c r="BG95" s="25">
        <f t="shared" si="25"/>
        <v>366833.33333333337</v>
      </c>
      <c r="BH95" s="25">
        <f t="shared" si="25"/>
        <v>368833.33333333337</v>
      </c>
      <c r="BI95" s="25">
        <f t="shared" si="25"/>
        <v>370833.33333333337</v>
      </c>
      <c r="BJ95" s="25">
        <f t="shared" si="25"/>
        <v>372833.33333333337</v>
      </c>
      <c r="BK95" s="25">
        <f t="shared" si="25"/>
        <v>374833.33333333337</v>
      </c>
      <c r="BL95" s="25">
        <f t="shared" si="25"/>
        <v>376833.33333333337</v>
      </c>
      <c r="BM95" s="25">
        <f t="shared" si="25"/>
        <v>378833.33333333337</v>
      </c>
      <c r="BN95" s="25">
        <f t="shared" si="25"/>
        <v>380833.33333333337</v>
      </c>
      <c r="BO95" s="25">
        <f t="shared" si="25"/>
        <v>382833.33333333337</v>
      </c>
    </row>
    <row r="97" spans="1:67" s="25" customFormat="1" x14ac:dyDescent="0.25">
      <c r="A97" s="25" t="s">
        <v>245</v>
      </c>
      <c r="B97" s="202">
        <f>SUM(D97:AQ97)</f>
        <v>29793325</v>
      </c>
      <c r="D97" s="25">
        <f>SUM(D64,D72,D79,D84,D95)</f>
        <v>10000</v>
      </c>
      <c r="E97" s="25">
        <f t="shared" ref="E97:BO97" si="26">SUM(E64,E72,E79,E84,E95)</f>
        <v>10000</v>
      </c>
      <c r="F97" s="25">
        <f t="shared" si="26"/>
        <v>10000</v>
      </c>
      <c r="G97" s="25">
        <f t="shared" si="26"/>
        <v>10000</v>
      </c>
      <c r="H97" s="25">
        <f t="shared" si="26"/>
        <v>173166.66666666669</v>
      </c>
      <c r="I97" s="25">
        <f t="shared" si="26"/>
        <v>183500</v>
      </c>
      <c r="J97" s="25">
        <f t="shared" si="26"/>
        <v>193833.33333333334</v>
      </c>
      <c r="K97" s="25">
        <f t="shared" si="26"/>
        <v>210833.33333333334</v>
      </c>
      <c r="L97" s="25">
        <f t="shared" si="26"/>
        <v>221166.66666666669</v>
      </c>
      <c r="M97" s="25">
        <f t="shared" si="26"/>
        <v>231500</v>
      </c>
      <c r="N97" s="25">
        <f t="shared" si="26"/>
        <v>241833.33333333334</v>
      </c>
      <c r="O97" s="25">
        <f t="shared" si="26"/>
        <v>252166.66666666669</v>
      </c>
      <c r="P97" s="25">
        <f t="shared" si="26"/>
        <v>275416.66666666669</v>
      </c>
      <c r="Q97" s="25">
        <f t="shared" si="26"/>
        <v>285750</v>
      </c>
      <c r="R97" s="25">
        <f t="shared" si="26"/>
        <v>296083.33333333331</v>
      </c>
      <c r="S97" s="25">
        <f t="shared" si="26"/>
        <v>306416.66666666669</v>
      </c>
      <c r="T97" s="25">
        <f t="shared" si="26"/>
        <v>682062.5</v>
      </c>
      <c r="U97" s="25">
        <f t="shared" si="26"/>
        <v>702812.5</v>
      </c>
      <c r="V97" s="25">
        <f t="shared" si="26"/>
        <v>715229.16666666674</v>
      </c>
      <c r="W97" s="25">
        <f t="shared" si="26"/>
        <v>727645.83333333337</v>
      </c>
      <c r="X97" s="25">
        <f t="shared" si="26"/>
        <v>740062.5</v>
      </c>
      <c r="Y97" s="25">
        <f t="shared" si="26"/>
        <v>752479.16666666674</v>
      </c>
      <c r="Z97" s="25">
        <f t="shared" si="26"/>
        <v>781041.66666666674</v>
      </c>
      <c r="AA97" s="25">
        <f t="shared" si="26"/>
        <v>793458.33333333326</v>
      </c>
      <c r="AB97" s="25">
        <f t="shared" si="26"/>
        <v>805875</v>
      </c>
      <c r="AC97" s="25">
        <f t="shared" si="26"/>
        <v>818291.66666666674</v>
      </c>
      <c r="AD97" s="25">
        <f t="shared" si="26"/>
        <v>830708.33333333326</v>
      </c>
      <c r="AE97" s="25">
        <f t="shared" si="26"/>
        <v>851458.33333333337</v>
      </c>
      <c r="AF97" s="25">
        <f t="shared" si="26"/>
        <v>1372600</v>
      </c>
      <c r="AG97" s="25">
        <f t="shared" si="26"/>
        <v>1387933.3333333333</v>
      </c>
      <c r="AH97" s="25">
        <f t="shared" si="26"/>
        <v>1403266.6666666667</v>
      </c>
      <c r="AI97" s="25">
        <f t="shared" si="26"/>
        <v>1418600</v>
      </c>
      <c r="AJ97" s="25">
        <f t="shared" si="26"/>
        <v>1454600</v>
      </c>
      <c r="AK97" s="25">
        <f t="shared" si="26"/>
        <v>1469933.3333333335</v>
      </c>
      <c r="AL97" s="25">
        <f t="shared" si="26"/>
        <v>1485266.6666666667</v>
      </c>
      <c r="AM97" s="25">
        <f t="shared" si="26"/>
        <v>1500600</v>
      </c>
      <c r="AN97" s="25">
        <f t="shared" si="26"/>
        <v>1515933.3333333335</v>
      </c>
      <c r="AO97" s="25">
        <f t="shared" si="26"/>
        <v>1541933.3333333335</v>
      </c>
      <c r="AP97" s="25">
        <f t="shared" si="26"/>
        <v>1557266.6666666665</v>
      </c>
      <c r="AQ97" s="25">
        <f t="shared" si="26"/>
        <v>1572600</v>
      </c>
      <c r="AR97" s="25">
        <f t="shared" si="26"/>
        <v>2376425.0000000005</v>
      </c>
      <c r="AS97" s="25">
        <f t="shared" si="26"/>
        <v>2397591.666666667</v>
      </c>
      <c r="AT97" s="25">
        <f t="shared" si="26"/>
        <v>2448466.666666667</v>
      </c>
      <c r="AU97" s="25">
        <f t="shared" si="26"/>
        <v>2469633.3333333335</v>
      </c>
      <c r="AV97" s="25">
        <f t="shared" si="26"/>
        <v>2490800.0000000005</v>
      </c>
      <c r="AW97" s="25">
        <f t="shared" si="26"/>
        <v>2511966.666666667</v>
      </c>
      <c r="AX97" s="25">
        <f t="shared" si="26"/>
        <v>2533133.3333333335</v>
      </c>
      <c r="AY97" s="25">
        <f t="shared" si="26"/>
        <v>2569633.3333333335</v>
      </c>
      <c r="AZ97" s="25">
        <f t="shared" si="26"/>
        <v>2590800.0000000005</v>
      </c>
      <c r="BA97" s="25">
        <f t="shared" si="26"/>
        <v>2611966.666666667</v>
      </c>
      <c r="BB97" s="25">
        <f t="shared" si="26"/>
        <v>2633133.3333333335</v>
      </c>
      <c r="BC97" s="25">
        <f t="shared" si="26"/>
        <v>2654300.0000000005</v>
      </c>
      <c r="BD97" s="25">
        <f t="shared" si="26"/>
        <v>3664583.3333333335</v>
      </c>
      <c r="BE97" s="25">
        <f t="shared" si="26"/>
        <v>3691583.3333333335</v>
      </c>
      <c r="BF97" s="25">
        <f t="shared" si="26"/>
        <v>3718583.3333333335</v>
      </c>
      <c r="BG97" s="25">
        <f t="shared" si="26"/>
        <v>3745583.3333333335</v>
      </c>
      <c r="BH97" s="25">
        <f t="shared" si="26"/>
        <v>3772583.3333333335</v>
      </c>
      <c r="BI97" s="25">
        <f t="shared" si="26"/>
        <v>3819583.3333333335</v>
      </c>
      <c r="BJ97" s="25">
        <f t="shared" si="26"/>
        <v>3846583.3333333335</v>
      </c>
      <c r="BK97" s="25">
        <f t="shared" si="26"/>
        <v>3873583.3333333335</v>
      </c>
      <c r="BL97" s="25">
        <f t="shared" si="26"/>
        <v>3900583.3333333335</v>
      </c>
      <c r="BM97" s="25">
        <f t="shared" si="26"/>
        <v>3927583.3333333335</v>
      </c>
      <c r="BN97" s="25">
        <f t="shared" si="26"/>
        <v>3993333.3333333335</v>
      </c>
      <c r="BO97" s="25">
        <f t="shared" si="26"/>
        <v>4020333.3333333335</v>
      </c>
    </row>
    <row r="98" spans="1:67" s="224" customFormat="1" x14ac:dyDescent="0.25">
      <c r="A98" s="224" t="s">
        <v>246</v>
      </c>
      <c r="B98" s="225">
        <f>MAX(D98:AQ98)</f>
        <v>29793325</v>
      </c>
      <c r="C98" s="183"/>
      <c r="D98" s="224">
        <f>D97</f>
        <v>10000</v>
      </c>
      <c r="E98" s="224">
        <f>E97+D98</f>
        <v>20000</v>
      </c>
      <c r="F98" s="224">
        <f t="shared" ref="F98:BO98" si="27">F97+E98</f>
        <v>30000</v>
      </c>
      <c r="G98" s="224">
        <f t="shared" si="27"/>
        <v>40000</v>
      </c>
      <c r="H98" s="224">
        <f t="shared" si="27"/>
        <v>213166.66666666669</v>
      </c>
      <c r="I98" s="224">
        <f t="shared" si="27"/>
        <v>396666.66666666669</v>
      </c>
      <c r="J98" s="224">
        <f t="shared" si="27"/>
        <v>590500</v>
      </c>
      <c r="K98" s="224">
        <f t="shared" si="27"/>
        <v>801333.33333333337</v>
      </c>
      <c r="L98" s="224">
        <f t="shared" si="27"/>
        <v>1022500</v>
      </c>
      <c r="M98" s="224">
        <f t="shared" si="27"/>
        <v>1254000</v>
      </c>
      <c r="N98" s="224">
        <f t="shared" si="27"/>
        <v>1495833.3333333333</v>
      </c>
      <c r="O98" s="224">
        <f t="shared" si="27"/>
        <v>1748000</v>
      </c>
      <c r="P98" s="224">
        <f t="shared" si="27"/>
        <v>2023416.6666666667</v>
      </c>
      <c r="Q98" s="224">
        <f t="shared" si="27"/>
        <v>2309166.666666667</v>
      </c>
      <c r="R98" s="224">
        <f t="shared" si="27"/>
        <v>2605250.0000000005</v>
      </c>
      <c r="S98" s="224">
        <f t="shared" si="27"/>
        <v>2911666.666666667</v>
      </c>
      <c r="T98" s="224">
        <f t="shared" si="27"/>
        <v>3593729.166666667</v>
      </c>
      <c r="U98" s="224">
        <f t="shared" si="27"/>
        <v>4296541.666666667</v>
      </c>
      <c r="V98" s="224">
        <f t="shared" si="27"/>
        <v>5011770.833333334</v>
      </c>
      <c r="W98" s="224">
        <f t="shared" si="27"/>
        <v>5739416.666666667</v>
      </c>
      <c r="X98" s="224">
        <f t="shared" si="27"/>
        <v>6479479.166666667</v>
      </c>
      <c r="Y98" s="224">
        <f t="shared" si="27"/>
        <v>7231958.333333334</v>
      </c>
      <c r="Z98" s="224">
        <f t="shared" si="27"/>
        <v>8013000.0000000009</v>
      </c>
      <c r="AA98" s="224">
        <f t="shared" si="27"/>
        <v>8806458.333333334</v>
      </c>
      <c r="AB98" s="224">
        <f t="shared" si="27"/>
        <v>9612333.333333334</v>
      </c>
      <c r="AC98" s="224">
        <f t="shared" si="27"/>
        <v>10430625</v>
      </c>
      <c r="AD98" s="224">
        <f t="shared" si="27"/>
        <v>11261333.333333334</v>
      </c>
      <c r="AE98" s="224">
        <f t="shared" si="27"/>
        <v>12112791.666666668</v>
      </c>
      <c r="AF98" s="224">
        <f t="shared" si="27"/>
        <v>13485391.666666668</v>
      </c>
      <c r="AG98" s="224">
        <f t="shared" si="27"/>
        <v>14873325.000000002</v>
      </c>
      <c r="AH98" s="224">
        <f t="shared" si="27"/>
        <v>16276591.666666668</v>
      </c>
      <c r="AI98" s="224">
        <f t="shared" si="27"/>
        <v>17695191.666666668</v>
      </c>
      <c r="AJ98" s="224">
        <f t="shared" si="27"/>
        <v>19149791.666666668</v>
      </c>
      <c r="AK98" s="224">
        <f t="shared" si="27"/>
        <v>20619725</v>
      </c>
      <c r="AL98" s="224">
        <f t="shared" si="27"/>
        <v>22104991.666666668</v>
      </c>
      <c r="AM98" s="224">
        <f t="shared" si="27"/>
        <v>23605591.666666668</v>
      </c>
      <c r="AN98" s="224">
        <f t="shared" si="27"/>
        <v>25121525</v>
      </c>
      <c r="AO98" s="224">
        <f t="shared" si="27"/>
        <v>26663458.333333332</v>
      </c>
      <c r="AP98" s="224">
        <f t="shared" si="27"/>
        <v>28220725</v>
      </c>
      <c r="AQ98" s="224">
        <f t="shared" si="27"/>
        <v>29793325</v>
      </c>
      <c r="AR98" s="224">
        <f t="shared" si="27"/>
        <v>32169750</v>
      </c>
      <c r="AS98" s="224">
        <f t="shared" si="27"/>
        <v>34567341.666666664</v>
      </c>
      <c r="AT98" s="224">
        <f t="shared" si="27"/>
        <v>37015808.333333328</v>
      </c>
      <c r="AU98" s="224">
        <f t="shared" si="27"/>
        <v>39485441.666666664</v>
      </c>
      <c r="AV98" s="224">
        <f t="shared" si="27"/>
        <v>41976241.666666664</v>
      </c>
      <c r="AW98" s="224">
        <f t="shared" si="27"/>
        <v>44488208.333333328</v>
      </c>
      <c r="AX98" s="224">
        <f t="shared" si="27"/>
        <v>47021341.666666664</v>
      </c>
      <c r="AY98" s="224">
        <f t="shared" si="27"/>
        <v>49590975</v>
      </c>
      <c r="AZ98" s="224">
        <f t="shared" si="27"/>
        <v>52181775</v>
      </c>
      <c r="BA98" s="224">
        <f t="shared" si="27"/>
        <v>54793741.666666664</v>
      </c>
      <c r="BB98" s="224">
        <f t="shared" si="27"/>
        <v>57426875</v>
      </c>
      <c r="BC98" s="224">
        <f t="shared" si="27"/>
        <v>60081175</v>
      </c>
      <c r="BD98" s="224">
        <f t="shared" si="27"/>
        <v>63745758.333333336</v>
      </c>
      <c r="BE98" s="224">
        <f t="shared" si="27"/>
        <v>67437341.666666672</v>
      </c>
      <c r="BF98" s="224">
        <f t="shared" si="27"/>
        <v>71155925</v>
      </c>
      <c r="BG98" s="224">
        <f t="shared" si="27"/>
        <v>74901508.333333328</v>
      </c>
      <c r="BH98" s="224">
        <f t="shared" si="27"/>
        <v>78674091.666666657</v>
      </c>
      <c r="BI98" s="224">
        <f t="shared" si="27"/>
        <v>82493674.999999985</v>
      </c>
      <c r="BJ98" s="224">
        <f t="shared" si="27"/>
        <v>86340258.333333313</v>
      </c>
      <c r="BK98" s="224">
        <f t="shared" si="27"/>
        <v>90213841.666666642</v>
      </c>
      <c r="BL98" s="224">
        <f t="shared" si="27"/>
        <v>94114424.99999997</v>
      </c>
      <c r="BM98" s="224">
        <f t="shared" si="27"/>
        <v>98042008.333333299</v>
      </c>
      <c r="BN98" s="224">
        <f t="shared" si="27"/>
        <v>102035341.66666663</v>
      </c>
      <c r="BO98" s="224">
        <f t="shared" si="27"/>
        <v>106055674.99999996</v>
      </c>
    </row>
    <row r="99" spans="1:67" s="162" customFormat="1" x14ac:dyDescent="0.25">
      <c r="A99" s="159" t="s">
        <v>247</v>
      </c>
      <c r="B99" s="202"/>
      <c r="C99" s="161"/>
      <c r="D99" s="161"/>
      <c r="E99" s="161"/>
      <c r="F99" s="161"/>
      <c r="G99" s="161"/>
    </row>
    <row r="100" spans="1:67" x14ac:dyDescent="0.25">
      <c r="A100" s="197"/>
      <c r="B100" s="202"/>
    </row>
    <row r="101" spans="1:67" x14ac:dyDescent="0.25">
      <c r="A101" s="197" t="s">
        <v>153</v>
      </c>
      <c r="B101" s="202"/>
    </row>
    <row r="102" spans="1:67" x14ac:dyDescent="0.25">
      <c r="A102" s="213" t="str">
        <f>Assumptions!$J$3</f>
        <v>Head of Sales</v>
      </c>
      <c r="B102" s="202"/>
      <c r="D102" s="214"/>
      <c r="E102" s="214"/>
      <c r="F102" s="214"/>
      <c r="G102" s="214"/>
      <c r="H102" s="51">
        <f>(Assumptions!$L3/12)+(Assumptions!$L3/12)*Assumptions!$K$48</f>
        <v>1375</v>
      </c>
      <c r="I102" s="51">
        <f>(Assumptions!$L3/12)+(Assumptions!$L3/12)*Assumptions!$K$48</f>
        <v>1375</v>
      </c>
      <c r="J102" s="51">
        <f>(Assumptions!$L3/12)+(Assumptions!$L3/12)*Assumptions!$K$48</f>
        <v>1375</v>
      </c>
      <c r="K102" s="51">
        <f>(Assumptions!$L3/12)+(Assumptions!$L3/12)*Assumptions!$K$48</f>
        <v>1375</v>
      </c>
      <c r="L102" s="51">
        <f>(Assumptions!$L3/12)+(Assumptions!$L3/12)*Assumptions!$K$48</f>
        <v>1375</v>
      </c>
      <c r="M102" s="51">
        <f>(Assumptions!$L3/12)+(Assumptions!$L3/12)*Assumptions!$K$48</f>
        <v>1375</v>
      </c>
      <c r="N102" s="51">
        <f>(Assumptions!$L3/12)+(Assumptions!$L3/12)*Assumptions!$K$48</f>
        <v>1375</v>
      </c>
      <c r="O102" s="51">
        <f>(Assumptions!$L3/12)+(Assumptions!$L3/12)*Assumptions!$K$48</f>
        <v>1375</v>
      </c>
      <c r="P102" s="51">
        <f>(Assumptions!$L3/12)+(Assumptions!$L3/12)*Assumptions!$K$48</f>
        <v>1375</v>
      </c>
      <c r="Q102" s="51">
        <f>(Assumptions!$L3/12)+(Assumptions!$L3/12)*Assumptions!$K$48</f>
        <v>1375</v>
      </c>
      <c r="R102" s="51">
        <f>(Assumptions!$L3/12)+(Assumptions!$L3/12)*Assumptions!$K$48</f>
        <v>1375</v>
      </c>
      <c r="S102" s="51">
        <f>(Assumptions!$L3/12)+(Assumptions!$L3/12)*Assumptions!$K$48</f>
        <v>1375</v>
      </c>
      <c r="T102" s="51">
        <f>(Assumptions!$L3/12)+(Assumptions!$L3/12)*Assumptions!$L$48</f>
        <v>1718.75</v>
      </c>
      <c r="U102" s="51">
        <f>(Assumptions!$L3/12)+(Assumptions!$L3/12)*Assumptions!$L$48</f>
        <v>1718.75</v>
      </c>
      <c r="V102" s="51">
        <f>(Assumptions!$L3/12)+(Assumptions!$L3/12)*Assumptions!$L$48</f>
        <v>1718.75</v>
      </c>
      <c r="W102" s="51">
        <f>(Assumptions!$L3/12)+(Assumptions!$L3/12)*Assumptions!$L$48</f>
        <v>1718.75</v>
      </c>
      <c r="X102" s="51">
        <f>(Assumptions!$L3/12)+(Assumptions!$L3/12)*Assumptions!$L$48</f>
        <v>1718.75</v>
      </c>
      <c r="Y102" s="51">
        <f>(Assumptions!$L3/12)+(Assumptions!$L3/12)*Assumptions!$L$48</f>
        <v>1718.75</v>
      </c>
      <c r="Z102" s="51">
        <f>(Assumptions!$L3/12)+(Assumptions!$L3/12)*Assumptions!$L$48</f>
        <v>1718.75</v>
      </c>
      <c r="AA102" s="51">
        <f>(Assumptions!$L3/12)+(Assumptions!$L3/12)*Assumptions!$L$48</f>
        <v>1718.75</v>
      </c>
      <c r="AB102" s="51">
        <f>(Assumptions!$L3/12)+(Assumptions!$L3/12)*Assumptions!$L$48</f>
        <v>1718.75</v>
      </c>
      <c r="AC102" s="51">
        <f>(Assumptions!$L3/12)+(Assumptions!$L3/12)*Assumptions!$L$48</f>
        <v>1718.75</v>
      </c>
      <c r="AD102" s="51">
        <f>(Assumptions!$L3/12)+(Assumptions!$L3/12)*Assumptions!$L$48</f>
        <v>1718.75</v>
      </c>
      <c r="AE102" s="51">
        <f>(Assumptions!$L3/12)+(Assumptions!$L3/12)*Assumptions!$L$48</f>
        <v>1718.75</v>
      </c>
      <c r="AF102" s="51">
        <f>(Assumptions!$L3/12)+(Assumptions!$L3/12)*Assumptions!$M$48</f>
        <v>2200</v>
      </c>
      <c r="AG102" s="51">
        <f>(Assumptions!$L3/12)+(Assumptions!$L3/12)*Assumptions!$M$48</f>
        <v>2200</v>
      </c>
      <c r="AH102" s="51">
        <f>(Assumptions!$L3/12)+(Assumptions!$L3/12)*Assumptions!$M$48</f>
        <v>2200</v>
      </c>
      <c r="AI102" s="51">
        <f>(Assumptions!$L3/12)+(Assumptions!$L3/12)*Assumptions!$M$48</f>
        <v>2200</v>
      </c>
      <c r="AJ102" s="51">
        <f>(Assumptions!$L3/12)+(Assumptions!$L3/12)*Assumptions!$M$48</f>
        <v>2200</v>
      </c>
      <c r="AK102" s="51">
        <f>(Assumptions!$L3/12)+(Assumptions!$L3/12)*Assumptions!$M$48</f>
        <v>2200</v>
      </c>
      <c r="AL102" s="51">
        <f>(Assumptions!$L3/12)+(Assumptions!$L3/12)*Assumptions!$M$48</f>
        <v>2200</v>
      </c>
      <c r="AM102" s="51">
        <f>(Assumptions!$L3/12)+(Assumptions!$L3/12)*Assumptions!$M$48</f>
        <v>2200</v>
      </c>
      <c r="AN102" s="51">
        <f>(Assumptions!$L3/12)+(Assumptions!$L3/12)*Assumptions!$M$48</f>
        <v>2200</v>
      </c>
      <c r="AO102" s="51">
        <f>(Assumptions!$L3/12)+(Assumptions!$L3/12)*Assumptions!$M$48</f>
        <v>2200</v>
      </c>
      <c r="AP102" s="51">
        <f>(Assumptions!$L3/12)+(Assumptions!$L3/12)*Assumptions!$M$48</f>
        <v>2200</v>
      </c>
      <c r="AQ102" s="51">
        <f>(Assumptions!$L3/12)+(Assumptions!$L3/12)*Assumptions!$M$48</f>
        <v>2200</v>
      </c>
      <c r="AR102" s="51">
        <f>(Assumptions!$L3/12)+(Assumptions!$L3/12)*Assumptions!$N$48</f>
        <v>3162.5</v>
      </c>
      <c r="AS102" s="51">
        <f>(Assumptions!$L3/12)+(Assumptions!$L3/12)*Assumptions!$N$48</f>
        <v>3162.5</v>
      </c>
      <c r="AT102" s="51">
        <f>(Assumptions!$L3/12)+(Assumptions!$L3/12)*Assumptions!$N$48</f>
        <v>3162.5</v>
      </c>
      <c r="AU102" s="51">
        <f>(Assumptions!$L3/12)+(Assumptions!$L3/12)*Assumptions!$N$48</f>
        <v>3162.5</v>
      </c>
      <c r="AV102" s="51">
        <f>(Assumptions!$L3/12)+(Assumptions!$L3/12)*Assumptions!$N$48</f>
        <v>3162.5</v>
      </c>
      <c r="AW102" s="51">
        <f>(Assumptions!$L3/12)+(Assumptions!$L3/12)*Assumptions!$N$48</f>
        <v>3162.5</v>
      </c>
      <c r="AX102" s="51">
        <f>(Assumptions!$L3/12)+(Assumptions!$L3/12)*Assumptions!$N$48</f>
        <v>3162.5</v>
      </c>
      <c r="AY102" s="51">
        <f>(Assumptions!$L3/12)+(Assumptions!$L3/12)*Assumptions!$N$48</f>
        <v>3162.5</v>
      </c>
      <c r="AZ102" s="51">
        <f>(Assumptions!$L3/12)+(Assumptions!$L3/12)*Assumptions!$N$48</f>
        <v>3162.5</v>
      </c>
      <c r="BA102" s="51">
        <f>(Assumptions!$L3/12)+(Assumptions!$L3/12)*Assumptions!$N$48</f>
        <v>3162.5</v>
      </c>
      <c r="BB102" s="51">
        <f>(Assumptions!$L3/12)+(Assumptions!$L3/12)*Assumptions!$N$48</f>
        <v>3162.5</v>
      </c>
      <c r="BC102" s="51">
        <f>(Assumptions!$L3/12)+(Assumptions!$L3/12)*Assumptions!$N$48</f>
        <v>3162.5</v>
      </c>
      <c r="BD102" s="51">
        <f>(Assumptions!$L3/12)+(Assumptions!$L3/12)*Assumptions!$O$48</f>
        <v>4125</v>
      </c>
      <c r="BE102" s="51">
        <f>(Assumptions!$L3/12)+(Assumptions!$L3/12)*Assumptions!$O$48</f>
        <v>4125</v>
      </c>
      <c r="BF102" s="51">
        <f>(Assumptions!$L3/12)+(Assumptions!$L3/12)*Assumptions!$O$48</f>
        <v>4125</v>
      </c>
      <c r="BG102" s="51">
        <f>(Assumptions!$L3/12)+(Assumptions!$L3/12)*Assumptions!$O$48</f>
        <v>4125</v>
      </c>
      <c r="BH102" s="51">
        <f>(Assumptions!$L3/12)+(Assumptions!$L3/12)*Assumptions!$O$48</f>
        <v>4125</v>
      </c>
      <c r="BI102" s="51">
        <f>(Assumptions!$L3/12)+(Assumptions!$L3/12)*Assumptions!$O$48</f>
        <v>4125</v>
      </c>
      <c r="BJ102" s="51">
        <f>(Assumptions!$L3/12)+(Assumptions!$L3/12)*Assumptions!$O$48</f>
        <v>4125</v>
      </c>
      <c r="BK102" s="51">
        <f>(Assumptions!$L3/12)+(Assumptions!$L3/12)*Assumptions!$O$48</f>
        <v>4125</v>
      </c>
      <c r="BL102" s="51">
        <f>(Assumptions!$L3/12)+(Assumptions!$L3/12)*Assumptions!$O$48</f>
        <v>4125</v>
      </c>
      <c r="BM102" s="51">
        <f>(Assumptions!$L3/12)+(Assumptions!$L3/12)*Assumptions!$O$48</f>
        <v>4125</v>
      </c>
      <c r="BN102" s="51">
        <f>(Assumptions!$L3/12)+(Assumptions!$L3/12)*Assumptions!$O$48</f>
        <v>4125</v>
      </c>
      <c r="BO102" s="51">
        <f>(Assumptions!$L3/12)+(Assumptions!$L3/12)*Assumptions!$O$48</f>
        <v>4125</v>
      </c>
    </row>
    <row r="103" spans="1:67" s="217" customFormat="1" x14ac:dyDescent="0.25">
      <c r="A103" s="215" t="str">
        <f>Assumptions!$J$4</f>
        <v>Sales Person</v>
      </c>
      <c r="B103" s="216"/>
      <c r="D103" s="218"/>
      <c r="E103" s="218"/>
      <c r="F103" s="218"/>
      <c r="G103" s="218"/>
      <c r="H103" s="219">
        <f>((Assumptions!$L4/12)*H$10)+((Assumptions!$L4/12)*H$10)*Assumptions!$K$48</f>
        <v>1833.3333333333333</v>
      </c>
      <c r="I103" s="219">
        <f>((Assumptions!$L4/12)*I$10)+((Assumptions!$L4/12)*I$10)*Assumptions!$K$48</f>
        <v>2750</v>
      </c>
      <c r="J103" s="219">
        <f>((Assumptions!$L4/12)*J$10)+((Assumptions!$L4/12)*J$10)*Assumptions!$K$48</f>
        <v>3666.6666666666665</v>
      </c>
      <c r="K103" s="219">
        <f>((Assumptions!$L4/12)*K$10)+((Assumptions!$L4/12)*K$10)*Assumptions!$K$48</f>
        <v>4583.333333333333</v>
      </c>
      <c r="L103" s="219">
        <f>((Assumptions!$L4/12)*L$10)+((Assumptions!$L4/12)*L$10)*Assumptions!$K$48</f>
        <v>5500</v>
      </c>
      <c r="M103" s="219">
        <f>((Assumptions!$L4/12)*M$10)+((Assumptions!$L4/12)*M$10)*Assumptions!$K$48</f>
        <v>6416.6666666666661</v>
      </c>
      <c r="N103" s="219">
        <f>((Assumptions!$L4/12)*N$10)+((Assumptions!$L4/12)*N$10)*Assumptions!$K$48</f>
        <v>7333.333333333333</v>
      </c>
      <c r="O103" s="219">
        <f>((Assumptions!$L4/12)*O$10)+((Assumptions!$L4/12)*O$10)*Assumptions!$K$48</f>
        <v>8250</v>
      </c>
      <c r="P103" s="219">
        <f>((Assumptions!$L4/12)*P$10)+((Assumptions!$L4/12)*P$10)*Assumptions!$K$48</f>
        <v>9166.6666666666661</v>
      </c>
      <c r="Q103" s="219">
        <f>((Assumptions!$L4/12)*Q$10)+((Assumptions!$L4/12)*Q$10)*Assumptions!$K$48</f>
        <v>10083.333333333332</v>
      </c>
      <c r="R103" s="219">
        <f>((Assumptions!$L4/12)*R$10)+((Assumptions!$L4/12)*R$10)*Assumptions!$K$48</f>
        <v>11000</v>
      </c>
      <c r="S103" s="219">
        <f>((Assumptions!$L4/12)*S$10)+((Assumptions!$L4/12)*S$10)*Assumptions!$K$48</f>
        <v>11916.666666666666</v>
      </c>
      <c r="T103" s="219">
        <f>((Assumptions!$L4/12)*T$10)+((Assumptions!$L4/12)*T$10)*Assumptions!$L$48</f>
        <v>16041.666666666664</v>
      </c>
      <c r="U103" s="219">
        <f>((Assumptions!$L4/12)*U$10)+((Assumptions!$L4/12)*U$10)*Assumptions!$L$48</f>
        <v>17187.5</v>
      </c>
      <c r="V103" s="219">
        <f>((Assumptions!$L4/12)*V$10)+((Assumptions!$L4/12)*V$10)*Assumptions!$L$48</f>
        <v>18333.333333333332</v>
      </c>
      <c r="W103" s="219">
        <f>((Assumptions!$L4/12)*W$10)+((Assumptions!$L4/12)*W$10)*Assumptions!$L$48</f>
        <v>19479.166666666664</v>
      </c>
      <c r="X103" s="219">
        <f>((Assumptions!$L4/12)*X$10)+((Assumptions!$L4/12)*X$10)*Assumptions!$L$48</f>
        <v>20625</v>
      </c>
      <c r="Y103" s="219">
        <f>((Assumptions!$L4/12)*Y$10)+((Assumptions!$L4/12)*Y$10)*Assumptions!$L$48</f>
        <v>21770.833333333328</v>
      </c>
      <c r="Z103" s="219">
        <f>((Assumptions!$L4/12)*Z$10)+((Assumptions!$L4/12)*Z$10)*Assumptions!$L$48</f>
        <v>22916.666666666664</v>
      </c>
      <c r="AA103" s="219">
        <f>((Assumptions!$L4/12)*AA$10)+((Assumptions!$L4/12)*AA$10)*Assumptions!$L$48</f>
        <v>24062.5</v>
      </c>
      <c r="AB103" s="219">
        <f>((Assumptions!$L4/12)*AB$10)+((Assumptions!$L4/12)*AB$10)*Assumptions!$L$48</f>
        <v>25208.333333333328</v>
      </c>
      <c r="AC103" s="219">
        <f>((Assumptions!$L4/12)*AC$10)+((Assumptions!$L4/12)*AC$10)*Assumptions!$L$48</f>
        <v>26354.166666666664</v>
      </c>
      <c r="AD103" s="219">
        <f>((Assumptions!$L4/12)*AD$10)+((Assumptions!$L4/12)*AD$10)*Assumptions!$L$48</f>
        <v>27500</v>
      </c>
      <c r="AE103" s="219">
        <f>((Assumptions!$L4/12)*AE$10)+((Assumptions!$L4/12)*AE$10)*Assumptions!$L$48</f>
        <v>28645.833333333328</v>
      </c>
      <c r="AF103" s="219">
        <f>((Assumptions!$L4/12)*AF$10)+((Assumptions!$L4/12)*AF$10)*Assumptions!$M$48</f>
        <v>38133.333333333328</v>
      </c>
      <c r="AG103" s="219">
        <f>((Assumptions!$L4/12)*AG$10)+((Assumptions!$L4/12)*AG$10)*Assumptions!$M$48</f>
        <v>39600</v>
      </c>
      <c r="AH103" s="219">
        <f>((Assumptions!$L4/12)*AH$10)+((Assumptions!$L4/12)*AH$10)*Assumptions!$M$48</f>
        <v>41066.666666666664</v>
      </c>
      <c r="AI103" s="219">
        <f>((Assumptions!$L4/12)*AI$10)+((Assumptions!$L4/12)*AI$10)*Assumptions!$M$48</f>
        <v>42533.333333333328</v>
      </c>
      <c r="AJ103" s="219">
        <f>((Assumptions!$L4/12)*AJ$10)+((Assumptions!$L4/12)*AJ$10)*Assumptions!$M$48</f>
        <v>44000</v>
      </c>
      <c r="AK103" s="219">
        <f>((Assumptions!$L4/12)*AK$10)+((Assumptions!$L4/12)*AK$10)*Assumptions!$M$48</f>
        <v>45466.666666666657</v>
      </c>
      <c r="AL103" s="219">
        <f>((Assumptions!$L4/12)*AL$10)+((Assumptions!$L4/12)*AL$10)*Assumptions!$M$48</f>
        <v>46933.333333333328</v>
      </c>
      <c r="AM103" s="219">
        <f>((Assumptions!$L4/12)*AM$10)+((Assumptions!$L4/12)*AM$10)*Assumptions!$M$48</f>
        <v>48400</v>
      </c>
      <c r="AN103" s="219">
        <f>((Assumptions!$L4/12)*AN$10)+((Assumptions!$L4/12)*AN$10)*Assumptions!$M$48</f>
        <v>49866.666666666657</v>
      </c>
      <c r="AO103" s="219">
        <f>((Assumptions!$L4/12)*AO$10)+((Assumptions!$L4/12)*AO$10)*Assumptions!$M$48</f>
        <v>51333.333333333328</v>
      </c>
      <c r="AP103" s="219">
        <f>((Assumptions!$L4/12)*AP$10)+((Assumptions!$L4/12)*AP$10)*Assumptions!$M$48</f>
        <v>52800</v>
      </c>
      <c r="AQ103" s="219">
        <f>((Assumptions!$L4/12)*AQ$10)+((Assumptions!$L4/12)*AQ$10)*Assumptions!$M$48</f>
        <v>54266.666666666657</v>
      </c>
      <c r="AR103" s="219">
        <f>((Assumptions!$L4/12)*AR$10)+((Assumptions!$L4/12)*AR$10)*Assumptions!$N$48</f>
        <v>80116.666666666657</v>
      </c>
      <c r="AS103" s="219">
        <f>((Assumptions!$L4/12)*AS$10)+((Assumptions!$L4/12)*AS$10)*Assumptions!$N$48</f>
        <v>82225</v>
      </c>
      <c r="AT103" s="219">
        <f>((Assumptions!$L4/12)*AT$10)+((Assumptions!$L4/12)*AT$10)*Assumptions!$N$48</f>
        <v>84333.333333333328</v>
      </c>
      <c r="AU103" s="219">
        <f>((Assumptions!$L4/12)*AU$10)+((Assumptions!$L4/12)*AU$10)*Assumptions!$N$48</f>
        <v>86441.666666666657</v>
      </c>
      <c r="AV103" s="219">
        <f>((Assumptions!$L4/12)*AV$10)+((Assumptions!$L4/12)*AV$10)*Assumptions!$N$48</f>
        <v>88550</v>
      </c>
      <c r="AW103" s="219">
        <f>((Assumptions!$L4/12)*AW$10)+((Assumptions!$L4/12)*AW$10)*Assumptions!$N$48</f>
        <v>90658.333333333328</v>
      </c>
      <c r="AX103" s="219">
        <f>((Assumptions!$L4/12)*AX$10)+((Assumptions!$L4/12)*AX$10)*Assumptions!$N$48</f>
        <v>92766.666666666657</v>
      </c>
      <c r="AY103" s="219">
        <f>((Assumptions!$L4/12)*AY$10)+((Assumptions!$L4/12)*AY$10)*Assumptions!$N$48</f>
        <v>94875</v>
      </c>
      <c r="AZ103" s="219">
        <f>((Assumptions!$L4/12)*AZ$10)+((Assumptions!$L4/12)*AZ$10)*Assumptions!$N$48</f>
        <v>96983.333333333328</v>
      </c>
      <c r="BA103" s="219">
        <f>((Assumptions!$L4/12)*BA$10)+((Assumptions!$L4/12)*BA$10)*Assumptions!$N$48</f>
        <v>99091.666666666657</v>
      </c>
      <c r="BB103" s="219">
        <f>((Assumptions!$L4/12)*BB$10)+((Assumptions!$L4/12)*BB$10)*Assumptions!$N$48</f>
        <v>101200</v>
      </c>
      <c r="BC103" s="219">
        <f>((Assumptions!$L4/12)*BC$10)+((Assumptions!$L4/12)*BC$10)*Assumptions!$N$48</f>
        <v>103308.33333333333</v>
      </c>
      <c r="BD103" s="219">
        <f>((Assumptions!$L4/12)*BD$10)+((Assumptions!$L4/12)*BD$10)*Assumptions!$O$48</f>
        <v>137500</v>
      </c>
      <c r="BE103" s="219">
        <f>((Assumptions!$L4/12)*BE$10)+((Assumptions!$L4/12)*BE$10)*Assumptions!$O$48</f>
        <v>140250</v>
      </c>
      <c r="BF103" s="219">
        <f>((Assumptions!$L4/12)*BF$10)+((Assumptions!$L4/12)*BF$10)*Assumptions!$O$48</f>
        <v>143000</v>
      </c>
      <c r="BG103" s="219">
        <f>((Assumptions!$L4/12)*BG$10)+((Assumptions!$L4/12)*BG$10)*Assumptions!$O$48</f>
        <v>145750</v>
      </c>
      <c r="BH103" s="219">
        <f>((Assumptions!$L4/12)*BH$10)+((Assumptions!$L4/12)*BH$10)*Assumptions!$O$48</f>
        <v>148500</v>
      </c>
      <c r="BI103" s="219">
        <f>((Assumptions!$L4/12)*BI$10)+((Assumptions!$L4/12)*BI$10)*Assumptions!$O$48</f>
        <v>151250</v>
      </c>
      <c r="BJ103" s="219">
        <f>((Assumptions!$L4/12)*BJ$10)+((Assumptions!$L4/12)*BJ$10)*Assumptions!$O$48</f>
        <v>154000</v>
      </c>
      <c r="BK103" s="219">
        <f>((Assumptions!$L4/12)*BK$10)+((Assumptions!$L4/12)*BK$10)*Assumptions!$O$48</f>
        <v>156750</v>
      </c>
      <c r="BL103" s="219">
        <f>((Assumptions!$L4/12)*BL$10)+((Assumptions!$L4/12)*BL$10)*Assumptions!$O$48</f>
        <v>159500</v>
      </c>
      <c r="BM103" s="219">
        <f>((Assumptions!$L4/12)*BM$10)+((Assumptions!$L4/12)*BM$10)*Assumptions!$O$48</f>
        <v>162250</v>
      </c>
      <c r="BN103" s="219">
        <f>((Assumptions!$L4/12)*BN$10)+((Assumptions!$L4/12)*BN$10)*Assumptions!$O$48</f>
        <v>165000</v>
      </c>
      <c r="BO103" s="219">
        <f>((Assumptions!$L4/12)*BO$10)+((Assumptions!$L4/12)*BO$10)*Assumptions!$O$48</f>
        <v>167750</v>
      </c>
    </row>
    <row r="104" spans="1:67" s="217" customFormat="1" x14ac:dyDescent="0.25">
      <c r="A104" s="215" t="str">
        <f>Assumptions!$J$5</f>
        <v>Pre Sales Person</v>
      </c>
      <c r="B104" s="216"/>
      <c r="D104" s="218"/>
      <c r="E104" s="218"/>
      <c r="F104" s="218"/>
      <c r="G104" s="218"/>
      <c r="H104" s="219">
        <f>((Assumptions!$L5/12)*H$13)+((Assumptions!$L5/12)*H$13)*Assumptions!$K$48</f>
        <v>0</v>
      </c>
      <c r="I104" s="219">
        <f>((Assumptions!$L5/12)*I$13)+((Assumptions!$L5/12)*I$13)*Assumptions!$K$48</f>
        <v>0</v>
      </c>
      <c r="J104" s="219">
        <f>((Assumptions!$L5/12)*J$13)+((Assumptions!$L5/12)*J$13)*Assumptions!$K$48</f>
        <v>0</v>
      </c>
      <c r="K104" s="219">
        <f>((Assumptions!$L5/12)*K$13)+((Assumptions!$L5/12)*K$13)*Assumptions!$K$48</f>
        <v>733.33333333333337</v>
      </c>
      <c r="L104" s="219">
        <f>((Assumptions!$L5/12)*L$13)+((Assumptions!$L5/12)*L$13)*Assumptions!$K$48</f>
        <v>733.33333333333337</v>
      </c>
      <c r="M104" s="219">
        <f>((Assumptions!$L5/12)*M$13)+((Assumptions!$L5/12)*M$13)*Assumptions!$K$48</f>
        <v>733.33333333333337</v>
      </c>
      <c r="N104" s="219">
        <f>((Assumptions!$L5/12)*N$13)+((Assumptions!$L5/12)*N$13)*Assumptions!$K$48</f>
        <v>733.33333333333337</v>
      </c>
      <c r="O104" s="219">
        <f>((Assumptions!$L5/12)*O$13)+((Assumptions!$L5/12)*O$13)*Assumptions!$K$48</f>
        <v>733.33333333333337</v>
      </c>
      <c r="P104" s="219">
        <f>((Assumptions!$L5/12)*P$13)+((Assumptions!$L5/12)*P$13)*Assumptions!$K$48</f>
        <v>1466.6666666666667</v>
      </c>
      <c r="Q104" s="219">
        <f>((Assumptions!$L5/12)*Q$13)+((Assumptions!$L5/12)*Q$13)*Assumptions!$K$48</f>
        <v>1466.6666666666667</v>
      </c>
      <c r="R104" s="219">
        <f>((Assumptions!$L5/12)*R$13)+((Assumptions!$L5/12)*R$13)*Assumptions!$K$48</f>
        <v>1466.6666666666667</v>
      </c>
      <c r="S104" s="219">
        <f>((Assumptions!$L5/12)*S$13)+((Assumptions!$L5/12)*S$13)*Assumptions!$K$48</f>
        <v>1466.6666666666667</v>
      </c>
      <c r="T104" s="219">
        <f>((Assumptions!$L5/12)*T$13)+((Assumptions!$L5/12)*T$13)*Assumptions!$L$48</f>
        <v>1833.3333333333335</v>
      </c>
      <c r="U104" s="219">
        <f>((Assumptions!$L5/12)*U$13)+((Assumptions!$L5/12)*U$13)*Assumptions!$L$48</f>
        <v>2750</v>
      </c>
      <c r="V104" s="219">
        <f>((Assumptions!$L5/12)*V$13)+((Assumptions!$L5/12)*V$13)*Assumptions!$L$48</f>
        <v>2750</v>
      </c>
      <c r="W104" s="219">
        <f>((Assumptions!$L5/12)*W$13)+((Assumptions!$L5/12)*W$13)*Assumptions!$L$48</f>
        <v>2750</v>
      </c>
      <c r="X104" s="219">
        <f>((Assumptions!$L5/12)*X$13)+((Assumptions!$L5/12)*X$13)*Assumptions!$L$48</f>
        <v>2750</v>
      </c>
      <c r="Y104" s="219">
        <f>((Assumptions!$L5/12)*Y$13)+((Assumptions!$L5/12)*Y$13)*Assumptions!$L$48</f>
        <v>2750</v>
      </c>
      <c r="Z104" s="219">
        <f>((Assumptions!$L5/12)*Z$13)+((Assumptions!$L5/12)*Z$13)*Assumptions!$L$48</f>
        <v>3666.666666666667</v>
      </c>
      <c r="AA104" s="219">
        <f>((Assumptions!$L5/12)*AA$13)+((Assumptions!$L5/12)*AA$13)*Assumptions!$L$48</f>
        <v>3666.666666666667</v>
      </c>
      <c r="AB104" s="219">
        <f>((Assumptions!$L5/12)*AB$13)+((Assumptions!$L5/12)*AB$13)*Assumptions!$L$48</f>
        <v>3666.666666666667</v>
      </c>
      <c r="AC104" s="219">
        <f>((Assumptions!$L5/12)*AC$13)+((Assumptions!$L5/12)*AC$13)*Assumptions!$L$48</f>
        <v>3666.666666666667</v>
      </c>
      <c r="AD104" s="219">
        <f>((Assumptions!$L5/12)*AD$13)+((Assumptions!$L5/12)*AD$13)*Assumptions!$L$48</f>
        <v>3666.666666666667</v>
      </c>
      <c r="AE104" s="219">
        <f>((Assumptions!$L5/12)*AE$13)+((Assumptions!$L5/12)*AE$13)*Assumptions!$L$48</f>
        <v>4583.3333333333339</v>
      </c>
      <c r="AF104" s="219">
        <f>((Assumptions!$L5/12)*AF$13)+((Assumptions!$L5/12)*AF$13)*Assumptions!$M$48</f>
        <v>5866.666666666667</v>
      </c>
      <c r="AG104" s="219">
        <f>((Assumptions!$L5/12)*AG$13)+((Assumptions!$L5/12)*AG$13)*Assumptions!$M$48</f>
        <v>5866.666666666667</v>
      </c>
      <c r="AH104" s="219">
        <f>((Assumptions!$L5/12)*AH$13)+((Assumptions!$L5/12)*AH$13)*Assumptions!$M$48</f>
        <v>5866.666666666667</v>
      </c>
      <c r="AI104" s="219">
        <f>((Assumptions!$L5/12)*AI$13)+((Assumptions!$L5/12)*AI$13)*Assumptions!$M$48</f>
        <v>5866.666666666667</v>
      </c>
      <c r="AJ104" s="219">
        <f>((Assumptions!$L5/12)*AJ$13)+((Assumptions!$L5/12)*AJ$13)*Assumptions!$M$48</f>
        <v>7040</v>
      </c>
      <c r="AK104" s="219">
        <f>((Assumptions!$L5/12)*AK$13)+((Assumptions!$L5/12)*AK$13)*Assumptions!$M$48</f>
        <v>7040</v>
      </c>
      <c r="AL104" s="219">
        <f>((Assumptions!$L5/12)*AL$13)+((Assumptions!$L5/12)*AL$13)*Assumptions!$M$48</f>
        <v>7040</v>
      </c>
      <c r="AM104" s="219">
        <f>((Assumptions!$L5/12)*AM$13)+((Assumptions!$L5/12)*AM$13)*Assumptions!$M$48</f>
        <v>7040</v>
      </c>
      <c r="AN104" s="219">
        <f>((Assumptions!$L5/12)*AN$13)+((Assumptions!$L5/12)*AN$13)*Assumptions!$M$48</f>
        <v>7040</v>
      </c>
      <c r="AO104" s="219">
        <f>((Assumptions!$L5/12)*AO$13)+((Assumptions!$L5/12)*AO$13)*Assumptions!$M$48</f>
        <v>8213.3333333333339</v>
      </c>
      <c r="AP104" s="219">
        <f>((Assumptions!$L5/12)*AP$13)+((Assumptions!$L5/12)*AP$13)*Assumptions!$M$48</f>
        <v>8213.3333333333339</v>
      </c>
      <c r="AQ104" s="219">
        <f>((Assumptions!$L5/12)*AQ$13)+((Assumptions!$L5/12)*AQ$13)*Assumptions!$M$48</f>
        <v>8213.3333333333339</v>
      </c>
      <c r="AR104" s="219">
        <f>((Assumptions!$L5/12)*AR$13)+((Assumptions!$L5/12)*AR$13)*Assumptions!$N$48</f>
        <v>11806.666666666668</v>
      </c>
      <c r="AS104" s="219">
        <f>((Assumptions!$L5/12)*AS$13)+((Assumptions!$L5/12)*AS$13)*Assumptions!$N$48</f>
        <v>11806.666666666668</v>
      </c>
      <c r="AT104" s="219">
        <f>((Assumptions!$L5/12)*AT$13)+((Assumptions!$L5/12)*AT$13)*Assumptions!$N$48</f>
        <v>13493.333333333334</v>
      </c>
      <c r="AU104" s="219">
        <f>((Assumptions!$L5/12)*AU$13)+((Assumptions!$L5/12)*AU$13)*Assumptions!$N$48</f>
        <v>13493.333333333334</v>
      </c>
      <c r="AV104" s="219">
        <f>((Assumptions!$L5/12)*AV$13)+((Assumptions!$L5/12)*AV$13)*Assumptions!$N$48</f>
        <v>13493.333333333334</v>
      </c>
      <c r="AW104" s="219">
        <f>((Assumptions!$L5/12)*AW$13)+((Assumptions!$L5/12)*AW$13)*Assumptions!$N$48</f>
        <v>13493.333333333334</v>
      </c>
      <c r="AX104" s="219">
        <f>((Assumptions!$L5/12)*AX$13)+((Assumptions!$L5/12)*AX$13)*Assumptions!$N$48</f>
        <v>13493.333333333334</v>
      </c>
      <c r="AY104" s="219">
        <f>((Assumptions!$L5/12)*AY$13)+((Assumptions!$L5/12)*AY$13)*Assumptions!$N$48</f>
        <v>15180</v>
      </c>
      <c r="AZ104" s="219">
        <f>((Assumptions!$L5/12)*AZ$13)+((Assumptions!$L5/12)*AZ$13)*Assumptions!$N$48</f>
        <v>15180</v>
      </c>
      <c r="BA104" s="219">
        <f>((Assumptions!$L5/12)*BA$13)+((Assumptions!$L5/12)*BA$13)*Assumptions!$N$48</f>
        <v>15180</v>
      </c>
      <c r="BB104" s="219">
        <f>((Assumptions!$L5/12)*BB$13)+((Assumptions!$L5/12)*BB$13)*Assumptions!$N$48</f>
        <v>15180</v>
      </c>
      <c r="BC104" s="219">
        <f>((Assumptions!$L5/12)*BC$13)+((Assumptions!$L5/12)*BC$13)*Assumptions!$N$48</f>
        <v>15180</v>
      </c>
      <c r="BD104" s="219">
        <f>((Assumptions!$L5/12)*BD$13)+((Assumptions!$L5/12)*BD$13)*Assumptions!$O$48</f>
        <v>22000</v>
      </c>
      <c r="BE104" s="219">
        <f>((Assumptions!$L5/12)*BE$13)+((Assumptions!$L5/12)*BE$13)*Assumptions!$O$48</f>
        <v>22000</v>
      </c>
      <c r="BF104" s="219">
        <f>((Assumptions!$L5/12)*BF$13)+((Assumptions!$L5/12)*BF$13)*Assumptions!$O$48</f>
        <v>22000</v>
      </c>
      <c r="BG104" s="219">
        <f>((Assumptions!$L5/12)*BG$13)+((Assumptions!$L5/12)*BG$13)*Assumptions!$O$48</f>
        <v>22000</v>
      </c>
      <c r="BH104" s="219">
        <f>((Assumptions!$L5/12)*BH$13)+((Assumptions!$L5/12)*BH$13)*Assumptions!$O$48</f>
        <v>22000</v>
      </c>
      <c r="BI104" s="219">
        <f>((Assumptions!$L5/12)*BI$13)+((Assumptions!$L5/12)*BI$13)*Assumptions!$O$48</f>
        <v>24200</v>
      </c>
      <c r="BJ104" s="219">
        <f>((Assumptions!$L5/12)*BJ$13)+((Assumptions!$L5/12)*BJ$13)*Assumptions!$O$48</f>
        <v>24200</v>
      </c>
      <c r="BK104" s="219">
        <f>((Assumptions!$L5/12)*BK$13)+((Assumptions!$L5/12)*BK$13)*Assumptions!$O$48</f>
        <v>24200</v>
      </c>
      <c r="BL104" s="219">
        <f>((Assumptions!$L5/12)*BL$13)+((Assumptions!$L5/12)*BL$13)*Assumptions!$O$48</f>
        <v>24200</v>
      </c>
      <c r="BM104" s="219">
        <f>((Assumptions!$L5/12)*BM$13)+((Assumptions!$L5/12)*BM$13)*Assumptions!$O$48</f>
        <v>24200</v>
      </c>
      <c r="BN104" s="219">
        <f>((Assumptions!$L5/12)*BN$13)+((Assumptions!$L5/12)*BN$13)*Assumptions!$O$48</f>
        <v>26400</v>
      </c>
      <c r="BO104" s="219">
        <f>((Assumptions!$L5/12)*BO$13)+((Assumptions!$L5/12)*BO$13)*Assumptions!$O$48</f>
        <v>26400</v>
      </c>
    </row>
    <row r="105" spans="1:67" s="217" customFormat="1" x14ac:dyDescent="0.25">
      <c r="A105" s="215" t="str">
        <f>Assumptions!$J$6</f>
        <v>Sales Assistant</v>
      </c>
      <c r="B105" s="216"/>
      <c r="D105" s="218"/>
      <c r="E105" s="218"/>
      <c r="F105" s="218"/>
      <c r="G105" s="218"/>
      <c r="H105" s="219">
        <f>((Assumptions!$L6/12)*H$14)+((Assumptions!$L6/12)*H$14)*Assumptions!$K$48</f>
        <v>0</v>
      </c>
      <c r="I105" s="219">
        <f>((Assumptions!$L6/12)*I$14)+((Assumptions!$L6/12)*I$14)*Assumptions!$K$48</f>
        <v>0</v>
      </c>
      <c r="J105" s="219">
        <f>((Assumptions!$L6/12)*J$14)+((Assumptions!$L6/12)*J$14)*Assumptions!$K$48</f>
        <v>0</v>
      </c>
      <c r="K105" s="219">
        <f>((Assumptions!$L6/12)*K$14)+((Assumptions!$L6/12)*K$14)*Assumptions!$K$48</f>
        <v>0</v>
      </c>
      <c r="L105" s="219">
        <f>((Assumptions!$L6/12)*L$14)+((Assumptions!$L6/12)*L$14)*Assumptions!$K$48</f>
        <v>0</v>
      </c>
      <c r="M105" s="219">
        <f>((Assumptions!$L6/12)*M$14)+((Assumptions!$L6/12)*M$14)*Assumptions!$K$48</f>
        <v>0</v>
      </c>
      <c r="N105" s="219">
        <f>((Assumptions!$L6/12)*N$14)+((Assumptions!$L6/12)*N$14)*Assumptions!$K$48</f>
        <v>0</v>
      </c>
      <c r="O105" s="219">
        <f>((Assumptions!$L6/12)*O$14)+((Assumptions!$L6/12)*O$14)*Assumptions!$K$48</f>
        <v>0</v>
      </c>
      <c r="P105" s="219">
        <f>((Assumptions!$L6/12)*P$14)+((Assumptions!$L6/12)*P$14)*Assumptions!$K$48</f>
        <v>687.5</v>
      </c>
      <c r="Q105" s="219">
        <f>((Assumptions!$L6/12)*Q$14)+((Assumptions!$L6/12)*Q$14)*Assumptions!$K$48</f>
        <v>687.5</v>
      </c>
      <c r="R105" s="219">
        <f>((Assumptions!$L6/12)*R$14)+((Assumptions!$L6/12)*R$14)*Assumptions!$K$48</f>
        <v>687.5</v>
      </c>
      <c r="S105" s="219">
        <f>((Assumptions!$L6/12)*S$14)+((Assumptions!$L6/12)*S$14)*Assumptions!$K$48</f>
        <v>687.5</v>
      </c>
      <c r="T105" s="219">
        <f>((Assumptions!$L6/12)*T$14)+((Assumptions!$L6/12)*T$14)*Assumptions!$L$48</f>
        <v>859.375</v>
      </c>
      <c r="U105" s="219">
        <f>((Assumptions!$L6/12)*U$14)+((Assumptions!$L6/12)*U$14)*Assumptions!$L$48</f>
        <v>859.375</v>
      </c>
      <c r="V105" s="219">
        <f>((Assumptions!$L6/12)*V$14)+((Assumptions!$L6/12)*V$14)*Assumptions!$L$48</f>
        <v>859.375</v>
      </c>
      <c r="W105" s="219">
        <f>((Assumptions!$L6/12)*W$14)+((Assumptions!$L6/12)*W$14)*Assumptions!$L$48</f>
        <v>859.375</v>
      </c>
      <c r="X105" s="219">
        <f>((Assumptions!$L6/12)*X$14)+((Assumptions!$L6/12)*X$14)*Assumptions!$L$48</f>
        <v>859.375</v>
      </c>
      <c r="Y105" s="219">
        <f>((Assumptions!$L6/12)*Y$14)+((Assumptions!$L6/12)*Y$14)*Assumptions!$L$48</f>
        <v>859.375</v>
      </c>
      <c r="Z105" s="219">
        <f>((Assumptions!$L6/12)*Z$14)+((Assumptions!$L6/12)*Z$14)*Assumptions!$L$48</f>
        <v>1718.75</v>
      </c>
      <c r="AA105" s="219">
        <f>((Assumptions!$L6/12)*AA$14)+((Assumptions!$L6/12)*AA$14)*Assumptions!$L$48</f>
        <v>1718.75</v>
      </c>
      <c r="AB105" s="219">
        <f>((Assumptions!$L6/12)*AB$14)+((Assumptions!$L6/12)*AB$14)*Assumptions!$L$48</f>
        <v>1718.75</v>
      </c>
      <c r="AC105" s="219">
        <f>((Assumptions!$L6/12)*AC$14)+((Assumptions!$L6/12)*AC$14)*Assumptions!$L$48</f>
        <v>1718.75</v>
      </c>
      <c r="AD105" s="219">
        <f>((Assumptions!$L6/12)*AD$14)+((Assumptions!$L6/12)*AD$14)*Assumptions!$L$48</f>
        <v>1718.75</v>
      </c>
      <c r="AE105" s="219">
        <f>((Assumptions!$L6/12)*AE$14)+((Assumptions!$L6/12)*AE$14)*Assumptions!$L$48</f>
        <v>1718.75</v>
      </c>
      <c r="AF105" s="219">
        <f>((Assumptions!$L6/12)*AF$14)+((Assumptions!$L6/12)*AF$14)*Assumptions!$M$48</f>
        <v>2200</v>
      </c>
      <c r="AG105" s="219">
        <f>((Assumptions!$L6/12)*AG$14)+((Assumptions!$L6/12)*AG$14)*Assumptions!$M$48</f>
        <v>2200</v>
      </c>
      <c r="AH105" s="219">
        <f>((Assumptions!$L6/12)*AH$14)+((Assumptions!$L6/12)*AH$14)*Assumptions!$M$48</f>
        <v>2200</v>
      </c>
      <c r="AI105" s="219">
        <f>((Assumptions!$L6/12)*AI$14)+((Assumptions!$L6/12)*AI$14)*Assumptions!$M$48</f>
        <v>2200</v>
      </c>
      <c r="AJ105" s="219">
        <f>((Assumptions!$L6/12)*AJ$14)+((Assumptions!$L6/12)*AJ$14)*Assumptions!$M$48</f>
        <v>3300</v>
      </c>
      <c r="AK105" s="219">
        <f>((Assumptions!$L6/12)*AK$14)+((Assumptions!$L6/12)*AK$14)*Assumptions!$M$48</f>
        <v>3300</v>
      </c>
      <c r="AL105" s="219">
        <f>((Assumptions!$L6/12)*AL$14)+((Assumptions!$L6/12)*AL$14)*Assumptions!$M$48</f>
        <v>3300</v>
      </c>
      <c r="AM105" s="219">
        <f>((Assumptions!$L6/12)*AM$14)+((Assumptions!$L6/12)*AM$14)*Assumptions!$M$48</f>
        <v>3300</v>
      </c>
      <c r="AN105" s="219">
        <f>((Assumptions!$L6/12)*AN$14)+((Assumptions!$L6/12)*AN$14)*Assumptions!$M$48</f>
        <v>3300</v>
      </c>
      <c r="AO105" s="219">
        <f>((Assumptions!$L6/12)*AO$14)+((Assumptions!$L6/12)*AO$14)*Assumptions!$M$48</f>
        <v>3300</v>
      </c>
      <c r="AP105" s="219">
        <f>((Assumptions!$L6/12)*AP$14)+((Assumptions!$L6/12)*AP$14)*Assumptions!$M$48</f>
        <v>3300</v>
      </c>
      <c r="AQ105" s="219">
        <f>((Assumptions!$L6/12)*AQ$14)+((Assumptions!$L6/12)*AQ$14)*Assumptions!$M$48</f>
        <v>3300</v>
      </c>
      <c r="AR105" s="219">
        <f>((Assumptions!$L6/12)*AR$14)+((Assumptions!$L6/12)*AR$14)*Assumptions!$N$48</f>
        <v>4743.75</v>
      </c>
      <c r="AS105" s="219">
        <f>((Assumptions!$L6/12)*AS$14)+((Assumptions!$L6/12)*AS$14)*Assumptions!$N$48</f>
        <v>4743.75</v>
      </c>
      <c r="AT105" s="219">
        <f>((Assumptions!$L6/12)*AT$14)+((Assumptions!$L6/12)*AT$14)*Assumptions!$N$48</f>
        <v>6325</v>
      </c>
      <c r="AU105" s="219">
        <f>((Assumptions!$L6/12)*AU$14)+((Assumptions!$L6/12)*AU$14)*Assumptions!$N$48</f>
        <v>6325</v>
      </c>
      <c r="AV105" s="219">
        <f>((Assumptions!$L6/12)*AV$14)+((Assumptions!$L6/12)*AV$14)*Assumptions!$N$48</f>
        <v>6325</v>
      </c>
      <c r="AW105" s="219">
        <f>((Assumptions!$L6/12)*AW$14)+((Assumptions!$L6/12)*AW$14)*Assumptions!$N$48</f>
        <v>6325</v>
      </c>
      <c r="AX105" s="219">
        <f>((Assumptions!$L6/12)*AX$14)+((Assumptions!$L6/12)*AX$14)*Assumptions!$N$48</f>
        <v>6325</v>
      </c>
      <c r="AY105" s="219">
        <f>((Assumptions!$L6/12)*AY$14)+((Assumptions!$L6/12)*AY$14)*Assumptions!$N$48</f>
        <v>6325</v>
      </c>
      <c r="AZ105" s="219">
        <f>((Assumptions!$L6/12)*AZ$14)+((Assumptions!$L6/12)*AZ$14)*Assumptions!$N$48</f>
        <v>6325</v>
      </c>
      <c r="BA105" s="219">
        <f>((Assumptions!$L6/12)*BA$14)+((Assumptions!$L6/12)*BA$14)*Assumptions!$N$48</f>
        <v>6325</v>
      </c>
      <c r="BB105" s="219">
        <f>((Assumptions!$L6/12)*BB$14)+((Assumptions!$L6/12)*BB$14)*Assumptions!$N$48</f>
        <v>6325</v>
      </c>
      <c r="BC105" s="219">
        <f>((Assumptions!$L6/12)*BC$14)+((Assumptions!$L6/12)*BC$14)*Assumptions!$N$48</f>
        <v>6325</v>
      </c>
      <c r="BD105" s="219">
        <f>((Assumptions!$L6/12)*BD$14)+((Assumptions!$L6/12)*BD$14)*Assumptions!$O$48</f>
        <v>10312.5</v>
      </c>
      <c r="BE105" s="219">
        <f>((Assumptions!$L6/12)*BE$14)+((Assumptions!$L6/12)*BE$14)*Assumptions!$O$48</f>
        <v>10312.5</v>
      </c>
      <c r="BF105" s="219">
        <f>((Assumptions!$L6/12)*BF$14)+((Assumptions!$L6/12)*BF$14)*Assumptions!$O$48</f>
        <v>10312.5</v>
      </c>
      <c r="BG105" s="219">
        <f>((Assumptions!$L6/12)*BG$14)+((Assumptions!$L6/12)*BG$14)*Assumptions!$O$48</f>
        <v>10312.5</v>
      </c>
      <c r="BH105" s="219">
        <f>((Assumptions!$L6/12)*BH$14)+((Assumptions!$L6/12)*BH$14)*Assumptions!$O$48</f>
        <v>10312.5</v>
      </c>
      <c r="BI105" s="219">
        <f>((Assumptions!$L6/12)*BI$14)+((Assumptions!$L6/12)*BI$14)*Assumptions!$O$48</f>
        <v>10312.5</v>
      </c>
      <c r="BJ105" s="219">
        <f>((Assumptions!$L6/12)*BJ$14)+((Assumptions!$L6/12)*BJ$14)*Assumptions!$O$48</f>
        <v>10312.5</v>
      </c>
      <c r="BK105" s="219">
        <f>((Assumptions!$L6/12)*BK$14)+((Assumptions!$L6/12)*BK$14)*Assumptions!$O$48</f>
        <v>10312.5</v>
      </c>
      <c r="BL105" s="219">
        <f>((Assumptions!$L6/12)*BL$14)+((Assumptions!$L6/12)*BL$14)*Assumptions!$O$48</f>
        <v>10312.5</v>
      </c>
      <c r="BM105" s="219">
        <f>((Assumptions!$L6/12)*BM$14)+((Assumptions!$L6/12)*BM$14)*Assumptions!$O$48</f>
        <v>10312.5</v>
      </c>
      <c r="BN105" s="219">
        <f>((Assumptions!$L6/12)*BN$14)+((Assumptions!$L6/12)*BN$14)*Assumptions!$O$48</f>
        <v>12375</v>
      </c>
      <c r="BO105" s="219">
        <f>((Assumptions!$L6/12)*BO$14)+((Assumptions!$L6/12)*BO$14)*Assumptions!$O$48</f>
        <v>12375</v>
      </c>
    </row>
    <row r="106" spans="1:67" s="25" customFormat="1" x14ac:dyDescent="0.25">
      <c r="A106" s="25" t="s">
        <v>243</v>
      </c>
      <c r="B106" s="202">
        <f>MAX(D106:AQ106)</f>
        <v>67980</v>
      </c>
      <c r="D106" s="25">
        <f>SUM(D101:D105)</f>
        <v>0</v>
      </c>
      <c r="E106" s="25">
        <f t="shared" ref="E106:BO106" si="28">SUM(E101:E105)</f>
        <v>0</v>
      </c>
      <c r="F106" s="25">
        <f t="shared" si="28"/>
        <v>0</v>
      </c>
      <c r="G106" s="25">
        <f t="shared" si="28"/>
        <v>0</v>
      </c>
      <c r="H106" s="25">
        <f t="shared" si="28"/>
        <v>3208.333333333333</v>
      </c>
      <c r="I106" s="25">
        <f t="shared" si="28"/>
        <v>4125</v>
      </c>
      <c r="J106" s="25">
        <f t="shared" si="28"/>
        <v>5041.6666666666661</v>
      </c>
      <c r="K106" s="25">
        <f t="shared" si="28"/>
        <v>6691.6666666666661</v>
      </c>
      <c r="L106" s="25">
        <f t="shared" si="28"/>
        <v>7608.333333333333</v>
      </c>
      <c r="M106" s="25">
        <f t="shared" si="28"/>
        <v>8525</v>
      </c>
      <c r="N106" s="25">
        <f t="shared" si="28"/>
        <v>9441.6666666666661</v>
      </c>
      <c r="O106" s="25">
        <f t="shared" si="28"/>
        <v>10358.333333333334</v>
      </c>
      <c r="P106" s="25">
        <f t="shared" si="28"/>
        <v>12695.833333333332</v>
      </c>
      <c r="Q106" s="25">
        <f t="shared" si="28"/>
        <v>13612.499999999998</v>
      </c>
      <c r="R106" s="25">
        <f t="shared" si="28"/>
        <v>14529.166666666666</v>
      </c>
      <c r="S106" s="25">
        <f t="shared" si="28"/>
        <v>15445.833333333332</v>
      </c>
      <c r="T106" s="25">
        <f t="shared" si="28"/>
        <v>20453.124999999996</v>
      </c>
      <c r="U106" s="25">
        <f t="shared" si="28"/>
        <v>22515.625</v>
      </c>
      <c r="V106" s="25">
        <f t="shared" si="28"/>
        <v>23661.458333333332</v>
      </c>
      <c r="W106" s="25">
        <f t="shared" si="28"/>
        <v>24807.291666666664</v>
      </c>
      <c r="X106" s="25">
        <f t="shared" si="28"/>
        <v>25953.125</v>
      </c>
      <c r="Y106" s="25">
        <f t="shared" si="28"/>
        <v>27098.958333333328</v>
      </c>
      <c r="Z106" s="25">
        <f t="shared" si="28"/>
        <v>30020.833333333332</v>
      </c>
      <c r="AA106" s="25">
        <f t="shared" si="28"/>
        <v>31166.666666666668</v>
      </c>
      <c r="AB106" s="25">
        <f t="shared" si="28"/>
        <v>32312.499999999996</v>
      </c>
      <c r="AC106" s="25">
        <f t="shared" si="28"/>
        <v>33458.333333333328</v>
      </c>
      <c r="AD106" s="25">
        <f t="shared" si="28"/>
        <v>34604.166666666664</v>
      </c>
      <c r="AE106" s="25">
        <f t="shared" si="28"/>
        <v>36666.666666666664</v>
      </c>
      <c r="AF106" s="25">
        <f t="shared" si="28"/>
        <v>48399.999999999993</v>
      </c>
      <c r="AG106" s="25">
        <f t="shared" si="28"/>
        <v>49866.666666666664</v>
      </c>
      <c r="AH106" s="25">
        <f t="shared" si="28"/>
        <v>51333.333333333328</v>
      </c>
      <c r="AI106" s="25">
        <f t="shared" si="28"/>
        <v>52799.999999999993</v>
      </c>
      <c r="AJ106" s="25">
        <f t="shared" si="28"/>
        <v>56540</v>
      </c>
      <c r="AK106" s="25">
        <f t="shared" si="28"/>
        <v>58006.666666666657</v>
      </c>
      <c r="AL106" s="25">
        <f t="shared" si="28"/>
        <v>59473.333333333328</v>
      </c>
      <c r="AM106" s="25">
        <f t="shared" si="28"/>
        <v>60940</v>
      </c>
      <c r="AN106" s="25">
        <f t="shared" si="28"/>
        <v>62406.666666666657</v>
      </c>
      <c r="AO106" s="25">
        <f t="shared" si="28"/>
        <v>65046.666666666664</v>
      </c>
      <c r="AP106" s="25">
        <f t="shared" si="28"/>
        <v>66513.333333333343</v>
      </c>
      <c r="AQ106" s="25">
        <f t="shared" si="28"/>
        <v>67980</v>
      </c>
      <c r="AR106" s="25">
        <f t="shared" si="28"/>
        <v>99829.583333333328</v>
      </c>
      <c r="AS106" s="25">
        <f t="shared" si="28"/>
        <v>101937.91666666667</v>
      </c>
      <c r="AT106" s="25">
        <f t="shared" si="28"/>
        <v>107314.16666666666</v>
      </c>
      <c r="AU106" s="25">
        <f t="shared" si="28"/>
        <v>109422.49999999999</v>
      </c>
      <c r="AV106" s="25">
        <f t="shared" si="28"/>
        <v>111530.83333333333</v>
      </c>
      <c r="AW106" s="25">
        <f t="shared" si="28"/>
        <v>113639.16666666666</v>
      </c>
      <c r="AX106" s="25">
        <f t="shared" si="28"/>
        <v>115747.49999999999</v>
      </c>
      <c r="AY106" s="25">
        <f t="shared" si="28"/>
        <v>119542.5</v>
      </c>
      <c r="AZ106" s="25">
        <f t="shared" si="28"/>
        <v>121650.83333333333</v>
      </c>
      <c r="BA106" s="25">
        <f t="shared" si="28"/>
        <v>123759.16666666666</v>
      </c>
      <c r="BB106" s="25">
        <f t="shared" si="28"/>
        <v>125867.5</v>
      </c>
      <c r="BC106" s="25">
        <f t="shared" si="28"/>
        <v>127975.83333333333</v>
      </c>
      <c r="BD106" s="25">
        <f t="shared" si="28"/>
        <v>173937.5</v>
      </c>
      <c r="BE106" s="25">
        <f t="shared" si="28"/>
        <v>176687.5</v>
      </c>
      <c r="BF106" s="25">
        <f t="shared" si="28"/>
        <v>179437.5</v>
      </c>
      <c r="BG106" s="25">
        <f t="shared" si="28"/>
        <v>182187.5</v>
      </c>
      <c r="BH106" s="25">
        <f t="shared" si="28"/>
        <v>184937.5</v>
      </c>
      <c r="BI106" s="25">
        <f t="shared" si="28"/>
        <v>189887.5</v>
      </c>
      <c r="BJ106" s="25">
        <f t="shared" si="28"/>
        <v>192637.5</v>
      </c>
      <c r="BK106" s="25">
        <f t="shared" si="28"/>
        <v>195387.5</v>
      </c>
      <c r="BL106" s="25">
        <f t="shared" si="28"/>
        <v>198137.5</v>
      </c>
      <c r="BM106" s="25">
        <f t="shared" si="28"/>
        <v>200887.5</v>
      </c>
      <c r="BN106" s="25">
        <f t="shared" si="28"/>
        <v>207900</v>
      </c>
      <c r="BO106" s="25">
        <f t="shared" si="28"/>
        <v>210650</v>
      </c>
    </row>
    <row r="107" spans="1:67" x14ac:dyDescent="0.25">
      <c r="B107" s="202"/>
    </row>
    <row r="108" spans="1:67" x14ac:dyDescent="0.25">
      <c r="A108" s="197" t="s">
        <v>177</v>
      </c>
      <c r="B108" s="202"/>
    </row>
    <row r="109" spans="1:67" x14ac:dyDescent="0.25">
      <c r="A109" s="213" t="str">
        <f>Assumptions!$J$9</f>
        <v>CEO</v>
      </c>
      <c r="B109" s="202" t="b">
        <f>(H109*12)=Assumptions!L9</f>
        <v>1</v>
      </c>
      <c r="D109" s="214"/>
      <c r="E109" s="214"/>
      <c r="F109" s="214"/>
      <c r="G109" s="214"/>
      <c r="H109" s="51">
        <f>(Assumptions!$L9/12)+(Assumptions!$L9/12)*Assumptions!$K$48</f>
        <v>2200</v>
      </c>
      <c r="I109" s="51">
        <f>(Assumptions!$L9/12)+(Assumptions!$L9/12)*Assumptions!$K$48</f>
        <v>2200</v>
      </c>
      <c r="J109" s="51">
        <f>(Assumptions!$L9/12)+(Assumptions!$L9/12)*Assumptions!$K$48</f>
        <v>2200</v>
      </c>
      <c r="K109" s="51">
        <f>(Assumptions!$L9/12)+(Assumptions!$L9/12)*Assumptions!$K$48</f>
        <v>2200</v>
      </c>
      <c r="L109" s="51">
        <f>(Assumptions!$L9/12)+(Assumptions!$L9/12)*Assumptions!$K$48</f>
        <v>2200</v>
      </c>
      <c r="M109" s="51">
        <f>(Assumptions!$L9/12)+(Assumptions!$L9/12)*Assumptions!$K$48</f>
        <v>2200</v>
      </c>
      <c r="N109" s="51">
        <f>(Assumptions!$L9/12)+(Assumptions!$L9/12)*Assumptions!$K$48</f>
        <v>2200</v>
      </c>
      <c r="O109" s="51">
        <f>(Assumptions!$L9/12)+(Assumptions!$L9/12)*Assumptions!$K$48</f>
        <v>2200</v>
      </c>
      <c r="P109" s="51">
        <f>(Assumptions!$L9/12)+(Assumptions!$L9/12)*Assumptions!$K$48</f>
        <v>2200</v>
      </c>
      <c r="Q109" s="51">
        <f>(Assumptions!$L9/12)+(Assumptions!$L9/12)*Assumptions!$K$48</f>
        <v>2200</v>
      </c>
      <c r="R109" s="51">
        <f>(Assumptions!$L9/12)+(Assumptions!$L9/12)*Assumptions!$K$48</f>
        <v>2200</v>
      </c>
      <c r="S109" s="51">
        <f>(Assumptions!$L9/12)+(Assumptions!$L9/12)*Assumptions!$K$48</f>
        <v>2200</v>
      </c>
      <c r="T109" s="51">
        <f>(Assumptions!$L9/12)+(Assumptions!$L9/12)*Assumptions!$L$48</f>
        <v>2750</v>
      </c>
      <c r="U109" s="51">
        <f>(Assumptions!$L9/12)+(Assumptions!$L9/12)*Assumptions!$L$48</f>
        <v>2750</v>
      </c>
      <c r="V109" s="51">
        <f>(Assumptions!$L9/12)+(Assumptions!$L9/12)*Assumptions!$L$48</f>
        <v>2750</v>
      </c>
      <c r="W109" s="51">
        <f>(Assumptions!$L9/12)+(Assumptions!$L9/12)*Assumptions!$L$48</f>
        <v>2750</v>
      </c>
      <c r="X109" s="51">
        <f>(Assumptions!$L9/12)+(Assumptions!$L9/12)*Assumptions!$L$48</f>
        <v>2750</v>
      </c>
      <c r="Y109" s="51">
        <f>(Assumptions!$L9/12)+(Assumptions!$L9/12)*Assumptions!$L$48</f>
        <v>2750</v>
      </c>
      <c r="Z109" s="51">
        <f>(Assumptions!$L9/12)+(Assumptions!$L9/12)*Assumptions!$L$48</f>
        <v>2750</v>
      </c>
      <c r="AA109" s="51">
        <f>(Assumptions!$L9/12)+(Assumptions!$L9/12)*Assumptions!$L$48</f>
        <v>2750</v>
      </c>
      <c r="AB109" s="51">
        <f>(Assumptions!$L9/12)+(Assumptions!$L9/12)*Assumptions!$L$48</f>
        <v>2750</v>
      </c>
      <c r="AC109" s="51">
        <f>(Assumptions!$L9/12)+(Assumptions!$L9/12)*Assumptions!$L$48</f>
        <v>2750</v>
      </c>
      <c r="AD109" s="51">
        <f>(Assumptions!$L9/12)+(Assumptions!$L9/12)*Assumptions!$L$48</f>
        <v>2750</v>
      </c>
      <c r="AE109" s="51">
        <f>(Assumptions!$L9/12)+(Assumptions!$L9/12)*Assumptions!$L$48</f>
        <v>2750</v>
      </c>
      <c r="AF109" s="51">
        <f>(Assumptions!$L9/12)+(Assumptions!$L9/12)*Assumptions!$M$48</f>
        <v>3520</v>
      </c>
      <c r="AG109" s="51">
        <f>(Assumptions!$L9/12)+(Assumptions!$L9/12)*Assumptions!$M$48</f>
        <v>3520</v>
      </c>
      <c r="AH109" s="51">
        <f>(Assumptions!$L9/12)+(Assumptions!$L9/12)*Assumptions!$M$48</f>
        <v>3520</v>
      </c>
      <c r="AI109" s="51">
        <f>(Assumptions!$L9/12)+(Assumptions!$L9/12)*Assumptions!$M$48</f>
        <v>3520</v>
      </c>
      <c r="AJ109" s="51">
        <f>(Assumptions!$L9/12)+(Assumptions!$L9/12)*Assumptions!$M$48</f>
        <v>3520</v>
      </c>
      <c r="AK109" s="51">
        <f>(Assumptions!$L9/12)+(Assumptions!$L9/12)*Assumptions!$M$48</f>
        <v>3520</v>
      </c>
      <c r="AL109" s="51">
        <f>(Assumptions!$L9/12)+(Assumptions!$L9/12)*Assumptions!$M$48</f>
        <v>3520</v>
      </c>
      <c r="AM109" s="51">
        <f>(Assumptions!$L9/12)+(Assumptions!$L9/12)*Assumptions!$M$48</f>
        <v>3520</v>
      </c>
      <c r="AN109" s="51">
        <f>(Assumptions!$L9/12)+(Assumptions!$L9/12)*Assumptions!$M$48</f>
        <v>3520</v>
      </c>
      <c r="AO109" s="51">
        <f>(Assumptions!$L9/12)+(Assumptions!$L9/12)*Assumptions!$M$48</f>
        <v>3520</v>
      </c>
      <c r="AP109" s="51">
        <f>(Assumptions!$L9/12)+(Assumptions!$L9/12)*Assumptions!$M$48</f>
        <v>3520</v>
      </c>
      <c r="AQ109" s="51">
        <f>(Assumptions!$L9/12)+(Assumptions!$L9/12)*Assumptions!$M$48</f>
        <v>3520</v>
      </c>
      <c r="AR109" s="51">
        <f>(Assumptions!$L9/12)+(Assumptions!$L9/12)*Assumptions!$N$48</f>
        <v>5060</v>
      </c>
      <c r="AS109" s="51">
        <f>(Assumptions!$L9/12)+(Assumptions!$L9/12)*Assumptions!$N$48</f>
        <v>5060</v>
      </c>
      <c r="AT109" s="51">
        <f>(Assumptions!$L9/12)+(Assumptions!$L9/12)*Assumptions!$N$48</f>
        <v>5060</v>
      </c>
      <c r="AU109" s="51">
        <f>(Assumptions!$L9/12)+(Assumptions!$L9/12)*Assumptions!$N$48</f>
        <v>5060</v>
      </c>
      <c r="AV109" s="51">
        <f>(Assumptions!$L9/12)+(Assumptions!$L9/12)*Assumptions!$N$48</f>
        <v>5060</v>
      </c>
      <c r="AW109" s="51">
        <f>(Assumptions!$L9/12)+(Assumptions!$L9/12)*Assumptions!$N$48</f>
        <v>5060</v>
      </c>
      <c r="AX109" s="51">
        <f>(Assumptions!$L9/12)+(Assumptions!$L9/12)*Assumptions!$N$48</f>
        <v>5060</v>
      </c>
      <c r="AY109" s="51">
        <f>(Assumptions!$L9/12)+(Assumptions!$L9/12)*Assumptions!$N$48</f>
        <v>5060</v>
      </c>
      <c r="AZ109" s="51">
        <f>(Assumptions!$L9/12)+(Assumptions!$L9/12)*Assumptions!$N$48</f>
        <v>5060</v>
      </c>
      <c r="BA109" s="51">
        <f>(Assumptions!$L9/12)+(Assumptions!$L9/12)*Assumptions!$N$48</f>
        <v>5060</v>
      </c>
      <c r="BB109" s="51">
        <f>(Assumptions!$L9/12)+(Assumptions!$L9/12)*Assumptions!$N$48</f>
        <v>5060</v>
      </c>
      <c r="BC109" s="51">
        <f>(Assumptions!$L9/12)+(Assumptions!$L9/12)*Assumptions!$N$48</f>
        <v>5060</v>
      </c>
      <c r="BD109" s="51">
        <f>(Assumptions!$L9/12)+(Assumptions!$L9/12)*Assumptions!$O$48</f>
        <v>6600</v>
      </c>
      <c r="BE109" s="51">
        <f>(Assumptions!$L9/12)+(Assumptions!$L9/12)*Assumptions!$O$48</f>
        <v>6600</v>
      </c>
      <c r="BF109" s="51">
        <f>(Assumptions!$L9/12)+(Assumptions!$L9/12)*Assumptions!$O$48</f>
        <v>6600</v>
      </c>
      <c r="BG109" s="51">
        <f>(Assumptions!$L9/12)+(Assumptions!$L9/12)*Assumptions!$O$48</f>
        <v>6600</v>
      </c>
      <c r="BH109" s="51">
        <f>(Assumptions!$L9/12)+(Assumptions!$L9/12)*Assumptions!$O$48</f>
        <v>6600</v>
      </c>
      <c r="BI109" s="51">
        <f>(Assumptions!$L9/12)+(Assumptions!$L9/12)*Assumptions!$O$48</f>
        <v>6600</v>
      </c>
      <c r="BJ109" s="51">
        <f>(Assumptions!$L9/12)+(Assumptions!$L9/12)*Assumptions!$O$48</f>
        <v>6600</v>
      </c>
      <c r="BK109" s="51">
        <f>(Assumptions!$L9/12)+(Assumptions!$L9/12)*Assumptions!$O$48</f>
        <v>6600</v>
      </c>
      <c r="BL109" s="51">
        <f>(Assumptions!$L9/12)+(Assumptions!$L9/12)*Assumptions!$O$48</f>
        <v>6600</v>
      </c>
      <c r="BM109" s="51">
        <f>(Assumptions!$L9/12)+(Assumptions!$L9/12)*Assumptions!$O$48</f>
        <v>6600</v>
      </c>
      <c r="BN109" s="51">
        <f>(Assumptions!$L9/12)+(Assumptions!$L9/12)*Assumptions!$O$48</f>
        <v>6600</v>
      </c>
      <c r="BO109" s="51">
        <f>(Assumptions!$L9/12)+(Assumptions!$L9/12)*Assumptions!$O$48</f>
        <v>6600</v>
      </c>
    </row>
    <row r="110" spans="1:67" x14ac:dyDescent="0.25">
      <c r="A110" s="213" t="str">
        <f>Assumptions!$J$10</f>
        <v>VP Operations</v>
      </c>
      <c r="B110" s="202" t="b">
        <f>(H110*12)=Assumptions!L10</f>
        <v>1</v>
      </c>
      <c r="D110" s="214"/>
      <c r="E110" s="214"/>
      <c r="F110" s="214"/>
      <c r="G110" s="214"/>
      <c r="H110" s="51">
        <f>(Assumptions!$L10/12)+(Assumptions!$L10/12)*Assumptions!$K$48</f>
        <v>1375</v>
      </c>
      <c r="I110" s="51">
        <f>(Assumptions!$L10/12)+(Assumptions!$L10/12)*Assumptions!$K$48</f>
        <v>1375</v>
      </c>
      <c r="J110" s="51">
        <f>(Assumptions!$L10/12)+(Assumptions!$L10/12)*Assumptions!$K$48</f>
        <v>1375</v>
      </c>
      <c r="K110" s="51">
        <f>(Assumptions!$L10/12)+(Assumptions!$L10/12)*Assumptions!$K$48</f>
        <v>1375</v>
      </c>
      <c r="L110" s="51">
        <f>(Assumptions!$L10/12)+(Assumptions!$L10/12)*Assumptions!$K$48</f>
        <v>1375</v>
      </c>
      <c r="M110" s="51">
        <f>(Assumptions!$L10/12)+(Assumptions!$L10/12)*Assumptions!$K$48</f>
        <v>1375</v>
      </c>
      <c r="N110" s="51">
        <f>(Assumptions!$L10/12)+(Assumptions!$L10/12)*Assumptions!$K$48</f>
        <v>1375</v>
      </c>
      <c r="O110" s="51">
        <f>(Assumptions!$L10/12)+(Assumptions!$L10/12)*Assumptions!$K$48</f>
        <v>1375</v>
      </c>
      <c r="P110" s="51">
        <f>(Assumptions!$L10/12)+(Assumptions!$L10/12)*Assumptions!$K$48</f>
        <v>1375</v>
      </c>
      <c r="Q110" s="51">
        <f>(Assumptions!$L10/12)+(Assumptions!$L10/12)*Assumptions!$K$48</f>
        <v>1375</v>
      </c>
      <c r="R110" s="51">
        <f>(Assumptions!$L10/12)+(Assumptions!$L10/12)*Assumptions!$K$48</f>
        <v>1375</v>
      </c>
      <c r="S110" s="51">
        <f>(Assumptions!$L10/12)+(Assumptions!$L10/12)*Assumptions!$K$48</f>
        <v>1375</v>
      </c>
      <c r="T110" s="51">
        <f>(Assumptions!$L10/12)+(Assumptions!$L10/12)*Assumptions!$L$48</f>
        <v>1718.75</v>
      </c>
      <c r="U110" s="51">
        <f>(Assumptions!$L10/12)+(Assumptions!$L10/12)*Assumptions!$L$48</f>
        <v>1718.75</v>
      </c>
      <c r="V110" s="51">
        <f>(Assumptions!$L10/12)+(Assumptions!$L10/12)*Assumptions!$L$48</f>
        <v>1718.75</v>
      </c>
      <c r="W110" s="51">
        <f>(Assumptions!$L10/12)+(Assumptions!$L10/12)*Assumptions!$L$48</f>
        <v>1718.75</v>
      </c>
      <c r="X110" s="51">
        <f>(Assumptions!$L10/12)+(Assumptions!$L10/12)*Assumptions!$L$48</f>
        <v>1718.75</v>
      </c>
      <c r="Y110" s="51">
        <f>(Assumptions!$L10/12)+(Assumptions!$L10/12)*Assumptions!$L$48</f>
        <v>1718.75</v>
      </c>
      <c r="Z110" s="51">
        <f>(Assumptions!$L10/12)+(Assumptions!$L10/12)*Assumptions!$L$48</f>
        <v>1718.75</v>
      </c>
      <c r="AA110" s="51">
        <f>(Assumptions!$L10/12)+(Assumptions!$L10/12)*Assumptions!$L$48</f>
        <v>1718.75</v>
      </c>
      <c r="AB110" s="51">
        <f>(Assumptions!$L10/12)+(Assumptions!$L10/12)*Assumptions!$L$48</f>
        <v>1718.75</v>
      </c>
      <c r="AC110" s="51">
        <f>(Assumptions!$L10/12)+(Assumptions!$L10/12)*Assumptions!$L$48</f>
        <v>1718.75</v>
      </c>
      <c r="AD110" s="51">
        <f>(Assumptions!$L10/12)+(Assumptions!$L10/12)*Assumptions!$L$48</f>
        <v>1718.75</v>
      </c>
      <c r="AE110" s="51">
        <f>(Assumptions!$L10/12)+(Assumptions!$L10/12)*Assumptions!$L$48</f>
        <v>1718.75</v>
      </c>
      <c r="AF110" s="51">
        <f>(Assumptions!$L10/12)+(Assumptions!$L10/12)*Assumptions!$M$48</f>
        <v>2200</v>
      </c>
      <c r="AG110" s="51">
        <f>(Assumptions!$L10/12)+(Assumptions!$L10/12)*Assumptions!$M$48</f>
        <v>2200</v>
      </c>
      <c r="AH110" s="51">
        <f>(Assumptions!$L10/12)+(Assumptions!$L10/12)*Assumptions!$M$48</f>
        <v>2200</v>
      </c>
      <c r="AI110" s="51">
        <f>(Assumptions!$L10/12)+(Assumptions!$L10/12)*Assumptions!$M$48</f>
        <v>2200</v>
      </c>
      <c r="AJ110" s="51">
        <f>(Assumptions!$L10/12)+(Assumptions!$L10/12)*Assumptions!$M$48</f>
        <v>2200</v>
      </c>
      <c r="AK110" s="51">
        <f>(Assumptions!$L10/12)+(Assumptions!$L10/12)*Assumptions!$M$48</f>
        <v>2200</v>
      </c>
      <c r="AL110" s="51">
        <f>(Assumptions!$L10/12)+(Assumptions!$L10/12)*Assumptions!$M$48</f>
        <v>2200</v>
      </c>
      <c r="AM110" s="51">
        <f>(Assumptions!$L10/12)+(Assumptions!$L10/12)*Assumptions!$M$48</f>
        <v>2200</v>
      </c>
      <c r="AN110" s="51">
        <f>(Assumptions!$L10/12)+(Assumptions!$L10/12)*Assumptions!$M$48</f>
        <v>2200</v>
      </c>
      <c r="AO110" s="51">
        <f>(Assumptions!$L10/12)+(Assumptions!$L10/12)*Assumptions!$M$48</f>
        <v>2200</v>
      </c>
      <c r="AP110" s="51">
        <f>(Assumptions!$L10/12)+(Assumptions!$L10/12)*Assumptions!$M$48</f>
        <v>2200</v>
      </c>
      <c r="AQ110" s="51">
        <f>(Assumptions!$L10/12)+(Assumptions!$L10/12)*Assumptions!$M$48</f>
        <v>2200</v>
      </c>
      <c r="AR110" s="51">
        <f>(Assumptions!$L10/12)+(Assumptions!$L10/12)*Assumptions!$N$48</f>
        <v>3162.5</v>
      </c>
      <c r="AS110" s="51">
        <f>(Assumptions!$L10/12)+(Assumptions!$L10/12)*Assumptions!$N$48</f>
        <v>3162.5</v>
      </c>
      <c r="AT110" s="51">
        <f>(Assumptions!$L10/12)+(Assumptions!$L10/12)*Assumptions!$N$48</f>
        <v>3162.5</v>
      </c>
      <c r="AU110" s="51">
        <f>(Assumptions!$L10/12)+(Assumptions!$L10/12)*Assumptions!$N$48</f>
        <v>3162.5</v>
      </c>
      <c r="AV110" s="51">
        <f>(Assumptions!$L10/12)+(Assumptions!$L10/12)*Assumptions!$N$48</f>
        <v>3162.5</v>
      </c>
      <c r="AW110" s="51">
        <f>(Assumptions!$L10/12)+(Assumptions!$L10/12)*Assumptions!$N$48</f>
        <v>3162.5</v>
      </c>
      <c r="AX110" s="51">
        <f>(Assumptions!$L10/12)+(Assumptions!$L10/12)*Assumptions!$N$48</f>
        <v>3162.5</v>
      </c>
      <c r="AY110" s="51">
        <f>(Assumptions!$L10/12)+(Assumptions!$L10/12)*Assumptions!$N$48</f>
        <v>3162.5</v>
      </c>
      <c r="AZ110" s="51">
        <f>(Assumptions!$L10/12)+(Assumptions!$L10/12)*Assumptions!$N$48</f>
        <v>3162.5</v>
      </c>
      <c r="BA110" s="51">
        <f>(Assumptions!$L10/12)+(Assumptions!$L10/12)*Assumptions!$N$48</f>
        <v>3162.5</v>
      </c>
      <c r="BB110" s="51">
        <f>(Assumptions!$L10/12)+(Assumptions!$L10/12)*Assumptions!$N$48</f>
        <v>3162.5</v>
      </c>
      <c r="BC110" s="51">
        <f>(Assumptions!$L10/12)+(Assumptions!$L10/12)*Assumptions!$N$48</f>
        <v>3162.5</v>
      </c>
      <c r="BD110" s="51">
        <f>(Assumptions!$L10/12)+(Assumptions!$L10/12)*Assumptions!$O$48</f>
        <v>4125</v>
      </c>
      <c r="BE110" s="51">
        <f>(Assumptions!$L10/12)+(Assumptions!$L10/12)*Assumptions!$O$48</f>
        <v>4125</v>
      </c>
      <c r="BF110" s="51">
        <f>(Assumptions!$L10/12)+(Assumptions!$L10/12)*Assumptions!$O$48</f>
        <v>4125</v>
      </c>
      <c r="BG110" s="51">
        <f>(Assumptions!$L10/12)+(Assumptions!$L10/12)*Assumptions!$O$48</f>
        <v>4125</v>
      </c>
      <c r="BH110" s="51">
        <f>(Assumptions!$L10/12)+(Assumptions!$L10/12)*Assumptions!$O$48</f>
        <v>4125</v>
      </c>
      <c r="BI110" s="51">
        <f>(Assumptions!$L10/12)+(Assumptions!$L10/12)*Assumptions!$O$48</f>
        <v>4125</v>
      </c>
      <c r="BJ110" s="51">
        <f>(Assumptions!$L10/12)+(Assumptions!$L10/12)*Assumptions!$O$48</f>
        <v>4125</v>
      </c>
      <c r="BK110" s="51">
        <f>(Assumptions!$L10/12)+(Assumptions!$L10/12)*Assumptions!$O$48</f>
        <v>4125</v>
      </c>
      <c r="BL110" s="51">
        <f>(Assumptions!$L10/12)+(Assumptions!$L10/12)*Assumptions!$O$48</f>
        <v>4125</v>
      </c>
      <c r="BM110" s="51">
        <f>(Assumptions!$L10/12)+(Assumptions!$L10/12)*Assumptions!$O$48</f>
        <v>4125</v>
      </c>
      <c r="BN110" s="51">
        <f>(Assumptions!$L10/12)+(Assumptions!$L10/12)*Assumptions!$O$48</f>
        <v>4125</v>
      </c>
      <c r="BO110" s="51">
        <f>(Assumptions!$L10/12)+(Assumptions!$L10/12)*Assumptions!$O$48</f>
        <v>4125</v>
      </c>
    </row>
    <row r="111" spans="1:67" x14ac:dyDescent="0.25">
      <c r="A111" s="220" t="str">
        <f>Assumptions!$J$11</f>
        <v>Infrastructure and Database</v>
      </c>
      <c r="B111" s="202" t="b">
        <f>(H111*12)=Assumptions!L11</f>
        <v>1</v>
      </c>
      <c r="D111" s="214"/>
      <c r="E111" s="214"/>
      <c r="F111" s="214"/>
      <c r="G111" s="214"/>
      <c r="H111" s="221">
        <f>(Assumptions!$L11/12)+(Assumptions!$L11/12)*Assumptions!$K$45</f>
        <v>1100</v>
      </c>
      <c r="I111" s="221">
        <f>(Assumptions!$L11/12)+(Assumptions!$L11/12)*Assumptions!$K$45</f>
        <v>1100</v>
      </c>
      <c r="J111" s="221">
        <f>(Assumptions!$L11/12)+(Assumptions!$L11/12)*Assumptions!$K$45</f>
        <v>1100</v>
      </c>
      <c r="K111" s="221">
        <f>(Assumptions!$L11/12)+(Assumptions!$L11/12)*Assumptions!$K$45</f>
        <v>1100</v>
      </c>
      <c r="L111" s="221">
        <f>(Assumptions!$L11/12)+(Assumptions!$L11/12)*Assumptions!$K$45</f>
        <v>1100</v>
      </c>
      <c r="M111" s="221">
        <f>(Assumptions!$L11/12)+(Assumptions!$L11/12)*Assumptions!$K$45</f>
        <v>1100</v>
      </c>
      <c r="N111" s="221">
        <f>(Assumptions!$L11/12)+(Assumptions!$L11/12)*Assumptions!$K$45</f>
        <v>1100</v>
      </c>
      <c r="O111" s="221">
        <f>(Assumptions!$L11/12)+(Assumptions!$L11/12)*Assumptions!$K$45</f>
        <v>1100</v>
      </c>
      <c r="P111" s="221">
        <f>(Assumptions!$L11/12)+(Assumptions!$L11/12)*Assumptions!$K$45</f>
        <v>1100</v>
      </c>
      <c r="Q111" s="221">
        <f>(Assumptions!$L11/12)+(Assumptions!$L11/12)*Assumptions!$K$45</f>
        <v>1100</v>
      </c>
      <c r="R111" s="221">
        <f>(Assumptions!$L11/12)+(Assumptions!$L11/12)*Assumptions!$K$45</f>
        <v>1100</v>
      </c>
      <c r="S111" s="221">
        <f>(Assumptions!$L11/12)+(Assumptions!$L11/12)*Assumptions!$K$45</f>
        <v>1100</v>
      </c>
      <c r="T111" s="221">
        <f>(Assumptions!$L11/12)+(Assumptions!$L11/12)*Assumptions!$L$45</f>
        <v>5500</v>
      </c>
      <c r="U111" s="221">
        <f>(Assumptions!$L11/12)+(Assumptions!$L11/12)*Assumptions!$L$45</f>
        <v>5500</v>
      </c>
      <c r="V111" s="221">
        <f>(Assumptions!$L11/12)+(Assumptions!$L11/12)*Assumptions!$L$45</f>
        <v>5500</v>
      </c>
      <c r="W111" s="221">
        <f>(Assumptions!$L11/12)+(Assumptions!$L11/12)*Assumptions!$L$45</f>
        <v>5500</v>
      </c>
      <c r="X111" s="221">
        <f>(Assumptions!$L11/12)+(Assumptions!$L11/12)*Assumptions!$L$45</f>
        <v>5500</v>
      </c>
      <c r="Y111" s="221">
        <f>(Assumptions!$L11/12)+(Assumptions!$L11/12)*Assumptions!$L$45</f>
        <v>5500</v>
      </c>
      <c r="Z111" s="221">
        <f>(Assumptions!$L11/12)+(Assumptions!$L11/12)*Assumptions!$L$45</f>
        <v>5500</v>
      </c>
      <c r="AA111" s="221">
        <f>(Assumptions!$L11/12)+(Assumptions!$L11/12)*Assumptions!$L$45</f>
        <v>5500</v>
      </c>
      <c r="AB111" s="221">
        <f>(Assumptions!$L11/12)+(Assumptions!$L11/12)*Assumptions!$L$45</f>
        <v>5500</v>
      </c>
      <c r="AC111" s="221">
        <f>(Assumptions!$L11/12)+(Assumptions!$L11/12)*Assumptions!$L$45</f>
        <v>5500</v>
      </c>
      <c r="AD111" s="221">
        <f>(Assumptions!$L11/12)+(Assumptions!$L11/12)*Assumptions!$L$45</f>
        <v>5500</v>
      </c>
      <c r="AE111" s="221">
        <f>(Assumptions!$L11/12)+(Assumptions!$L11/12)*Assumptions!$L$45</f>
        <v>5500</v>
      </c>
      <c r="AF111" s="221">
        <f>(Assumptions!$L11/12)+(Assumptions!$L11/12)*Assumptions!$M$45</f>
        <v>11000</v>
      </c>
      <c r="AG111" s="221">
        <f>(Assumptions!$L11/12)+(Assumptions!$L11/12)*Assumptions!$M$45</f>
        <v>11000</v>
      </c>
      <c r="AH111" s="221">
        <f>(Assumptions!$L11/12)+(Assumptions!$L11/12)*Assumptions!$M$45</f>
        <v>11000</v>
      </c>
      <c r="AI111" s="221">
        <f>(Assumptions!$L11/12)+(Assumptions!$L11/12)*Assumptions!$M$45</f>
        <v>11000</v>
      </c>
      <c r="AJ111" s="221">
        <f>(Assumptions!$L11/12)+(Assumptions!$L11/12)*Assumptions!$M$45</f>
        <v>11000</v>
      </c>
      <c r="AK111" s="221">
        <f>(Assumptions!$L11/12)+(Assumptions!$L11/12)*Assumptions!$M$45</f>
        <v>11000</v>
      </c>
      <c r="AL111" s="221">
        <f>(Assumptions!$L11/12)+(Assumptions!$L11/12)*Assumptions!$M$45</f>
        <v>11000</v>
      </c>
      <c r="AM111" s="221">
        <f>(Assumptions!$L11/12)+(Assumptions!$L11/12)*Assumptions!$M$45</f>
        <v>11000</v>
      </c>
      <c r="AN111" s="221">
        <f>(Assumptions!$L11/12)+(Assumptions!$L11/12)*Assumptions!$M$45</f>
        <v>11000</v>
      </c>
      <c r="AO111" s="221">
        <f>(Assumptions!$L11/12)+(Assumptions!$L11/12)*Assumptions!$M$45</f>
        <v>11000</v>
      </c>
      <c r="AP111" s="221">
        <f>(Assumptions!$L11/12)+(Assumptions!$L11/12)*Assumptions!$M$45</f>
        <v>11000</v>
      </c>
      <c r="AQ111" s="221">
        <f>(Assumptions!$L11/12)+(Assumptions!$L11/12)*Assumptions!$M$45</f>
        <v>11000</v>
      </c>
      <c r="AR111" s="221">
        <f>(Assumptions!$L11/12)+(Assumptions!$L11/12)*Assumptions!$N$45</f>
        <v>17600</v>
      </c>
      <c r="AS111" s="221">
        <f>(Assumptions!$L11/12)+(Assumptions!$L11/12)*Assumptions!$N$45</f>
        <v>17600</v>
      </c>
      <c r="AT111" s="221">
        <f>(Assumptions!$L11/12)+(Assumptions!$L11/12)*Assumptions!$N$45</f>
        <v>17600</v>
      </c>
      <c r="AU111" s="221">
        <f>(Assumptions!$L11/12)+(Assumptions!$L11/12)*Assumptions!$N$45</f>
        <v>17600</v>
      </c>
      <c r="AV111" s="221">
        <f>(Assumptions!$L11/12)+(Assumptions!$L11/12)*Assumptions!$N$45</f>
        <v>17600</v>
      </c>
      <c r="AW111" s="221">
        <f>(Assumptions!$L11/12)+(Assumptions!$L11/12)*Assumptions!$N$45</f>
        <v>17600</v>
      </c>
      <c r="AX111" s="221">
        <f>(Assumptions!$L11/12)+(Assumptions!$L11/12)*Assumptions!$N$45</f>
        <v>17600</v>
      </c>
      <c r="AY111" s="221">
        <f>(Assumptions!$L11/12)+(Assumptions!$L11/12)*Assumptions!$N$45</f>
        <v>17600</v>
      </c>
      <c r="AZ111" s="221">
        <f>(Assumptions!$L11/12)+(Assumptions!$L11/12)*Assumptions!$N$45</f>
        <v>17600</v>
      </c>
      <c r="BA111" s="221">
        <f>(Assumptions!$L11/12)+(Assumptions!$L11/12)*Assumptions!$N$45</f>
        <v>17600</v>
      </c>
      <c r="BB111" s="221">
        <f>(Assumptions!$L11/12)+(Assumptions!$L11/12)*Assumptions!$N$45</f>
        <v>17600</v>
      </c>
      <c r="BC111" s="221">
        <f>(Assumptions!$L11/12)+(Assumptions!$L11/12)*Assumptions!$N$45</f>
        <v>17600</v>
      </c>
      <c r="BD111" s="221">
        <f>(Assumptions!$L11/12)+(Assumptions!$L11/12)*Assumptions!$O$45</f>
        <v>25300</v>
      </c>
      <c r="BE111" s="221">
        <f>(Assumptions!$L11/12)+(Assumptions!$L11/12)*Assumptions!$O$45</f>
        <v>25300</v>
      </c>
      <c r="BF111" s="221">
        <f>(Assumptions!$L11/12)+(Assumptions!$L11/12)*Assumptions!$O$45</f>
        <v>25300</v>
      </c>
      <c r="BG111" s="221">
        <f>(Assumptions!$L11/12)+(Assumptions!$L11/12)*Assumptions!$O$45</f>
        <v>25300</v>
      </c>
      <c r="BH111" s="221">
        <f>(Assumptions!$L11/12)+(Assumptions!$L11/12)*Assumptions!$O$45</f>
        <v>25300</v>
      </c>
      <c r="BI111" s="221">
        <f>(Assumptions!$L11/12)+(Assumptions!$L11/12)*Assumptions!$O$45</f>
        <v>25300</v>
      </c>
      <c r="BJ111" s="221">
        <f>(Assumptions!$L11/12)+(Assumptions!$L11/12)*Assumptions!$O$45</f>
        <v>25300</v>
      </c>
      <c r="BK111" s="221">
        <f>(Assumptions!$L11/12)+(Assumptions!$L11/12)*Assumptions!$O$45</f>
        <v>25300</v>
      </c>
      <c r="BL111" s="221">
        <f>(Assumptions!$L11/12)+(Assumptions!$L11/12)*Assumptions!$O$45</f>
        <v>25300</v>
      </c>
      <c r="BM111" s="221">
        <f>(Assumptions!$L11/12)+(Assumptions!$L11/12)*Assumptions!$O$45</f>
        <v>25300</v>
      </c>
      <c r="BN111" s="221">
        <f>(Assumptions!$L11/12)+(Assumptions!$L11/12)*Assumptions!$O$45</f>
        <v>25300</v>
      </c>
      <c r="BO111" s="221">
        <f>(Assumptions!$L11/12)+(Assumptions!$L11/12)*Assumptions!$O$45</f>
        <v>25300</v>
      </c>
    </row>
    <row r="112" spans="1:67" x14ac:dyDescent="0.25">
      <c r="A112" s="213" t="str">
        <f>Assumptions!$J$12</f>
        <v>General Administration</v>
      </c>
      <c r="B112" s="202" t="b">
        <f>(H112*12)=Assumptions!L12</f>
        <v>1</v>
      </c>
      <c r="D112" s="214"/>
      <c r="E112" s="214"/>
      <c r="F112" s="214"/>
      <c r="G112" s="214"/>
      <c r="H112" s="51">
        <f>(Assumptions!$L12/12)+(Assumptions!$L12/12)*Assumptions!$K$48</f>
        <v>550</v>
      </c>
      <c r="I112" s="51">
        <f>(Assumptions!$L12/12)+(Assumptions!$L12/12)*Assumptions!$K$48</f>
        <v>550</v>
      </c>
      <c r="J112" s="51">
        <f>(Assumptions!$L12/12)+(Assumptions!$L12/12)*Assumptions!$K$48</f>
        <v>550</v>
      </c>
      <c r="K112" s="51">
        <f>(Assumptions!$L12/12)+(Assumptions!$L12/12)*Assumptions!$K$48</f>
        <v>550</v>
      </c>
      <c r="L112" s="51">
        <f>(Assumptions!$L12/12)+(Assumptions!$L12/12)*Assumptions!$K$48</f>
        <v>550</v>
      </c>
      <c r="M112" s="51">
        <f>(Assumptions!$L12/12)+(Assumptions!$L12/12)*Assumptions!$K$48</f>
        <v>550</v>
      </c>
      <c r="N112" s="51">
        <f>(Assumptions!$L12/12)+(Assumptions!$L12/12)*Assumptions!$K$48</f>
        <v>550</v>
      </c>
      <c r="O112" s="51">
        <f>(Assumptions!$L12/12)+(Assumptions!$L12/12)*Assumptions!$K$48</f>
        <v>550</v>
      </c>
      <c r="P112" s="51">
        <f>(Assumptions!$L12/12)+(Assumptions!$L12/12)*Assumptions!$K$48</f>
        <v>550</v>
      </c>
      <c r="Q112" s="51">
        <f>(Assumptions!$L12/12)+(Assumptions!$L12/12)*Assumptions!$K$48</f>
        <v>550</v>
      </c>
      <c r="R112" s="51">
        <f>(Assumptions!$L12/12)+(Assumptions!$L12/12)*Assumptions!$K$48</f>
        <v>550</v>
      </c>
      <c r="S112" s="51">
        <f>(Assumptions!$L12/12)+(Assumptions!$L12/12)*Assumptions!$K$48</f>
        <v>550</v>
      </c>
      <c r="T112" s="51">
        <f>(Assumptions!$L12/12)+(Assumptions!$L12/12)*Assumptions!$L$48</f>
        <v>687.5</v>
      </c>
      <c r="U112" s="51">
        <f>(Assumptions!$L12/12)+(Assumptions!$L12/12)*Assumptions!$L$48</f>
        <v>687.5</v>
      </c>
      <c r="V112" s="51">
        <f>(Assumptions!$L12/12)+(Assumptions!$L12/12)*Assumptions!$L$48</f>
        <v>687.5</v>
      </c>
      <c r="W112" s="51">
        <f>(Assumptions!$L12/12)+(Assumptions!$L12/12)*Assumptions!$L$48</f>
        <v>687.5</v>
      </c>
      <c r="X112" s="51">
        <f>(Assumptions!$L12/12)+(Assumptions!$L12/12)*Assumptions!$L$48</f>
        <v>687.5</v>
      </c>
      <c r="Y112" s="51">
        <f>(Assumptions!$L12/12)+(Assumptions!$L12/12)*Assumptions!$L$48</f>
        <v>687.5</v>
      </c>
      <c r="Z112" s="51">
        <f>(Assumptions!$L12/12)+(Assumptions!$L12/12)*Assumptions!$L$48</f>
        <v>687.5</v>
      </c>
      <c r="AA112" s="51">
        <f>(Assumptions!$L12/12)+(Assumptions!$L12/12)*Assumptions!$L$48</f>
        <v>687.5</v>
      </c>
      <c r="AB112" s="51">
        <f>(Assumptions!$L12/12)+(Assumptions!$L12/12)*Assumptions!$L$48</f>
        <v>687.5</v>
      </c>
      <c r="AC112" s="51">
        <f>(Assumptions!$L12/12)+(Assumptions!$L12/12)*Assumptions!$L$48</f>
        <v>687.5</v>
      </c>
      <c r="AD112" s="51">
        <f>(Assumptions!$L12/12)+(Assumptions!$L12/12)*Assumptions!$L$48</f>
        <v>687.5</v>
      </c>
      <c r="AE112" s="51">
        <f>(Assumptions!$L12/12)+(Assumptions!$L12/12)*Assumptions!$L$48</f>
        <v>687.5</v>
      </c>
      <c r="AF112" s="51">
        <f>(Assumptions!$L12/12)+(Assumptions!$L12/12)*Assumptions!$M$48</f>
        <v>880</v>
      </c>
      <c r="AG112" s="51">
        <f>(Assumptions!$L12/12)+(Assumptions!$L12/12)*Assumptions!$M$48</f>
        <v>880</v>
      </c>
      <c r="AH112" s="51">
        <f>(Assumptions!$L12/12)+(Assumptions!$L12/12)*Assumptions!$M$48</f>
        <v>880</v>
      </c>
      <c r="AI112" s="51">
        <f>(Assumptions!$L12/12)+(Assumptions!$L12/12)*Assumptions!$M$48</f>
        <v>880</v>
      </c>
      <c r="AJ112" s="51">
        <f>(Assumptions!$L12/12)+(Assumptions!$L12/12)*Assumptions!$M$48</f>
        <v>880</v>
      </c>
      <c r="AK112" s="51">
        <f>(Assumptions!$L12/12)+(Assumptions!$L12/12)*Assumptions!$M$48</f>
        <v>880</v>
      </c>
      <c r="AL112" s="51">
        <f>(Assumptions!$L12/12)+(Assumptions!$L12/12)*Assumptions!$M$48</f>
        <v>880</v>
      </c>
      <c r="AM112" s="51">
        <f>(Assumptions!$L12/12)+(Assumptions!$L12/12)*Assumptions!$M$48</f>
        <v>880</v>
      </c>
      <c r="AN112" s="51">
        <f>(Assumptions!$L12/12)+(Assumptions!$L12/12)*Assumptions!$M$48</f>
        <v>880</v>
      </c>
      <c r="AO112" s="51">
        <f>(Assumptions!$L12/12)+(Assumptions!$L12/12)*Assumptions!$M$48</f>
        <v>880</v>
      </c>
      <c r="AP112" s="51">
        <f>(Assumptions!$L12/12)+(Assumptions!$L12/12)*Assumptions!$M$48</f>
        <v>880</v>
      </c>
      <c r="AQ112" s="51">
        <f>(Assumptions!$L12/12)+(Assumptions!$L12/12)*Assumptions!$M$48</f>
        <v>880</v>
      </c>
      <c r="AR112" s="51">
        <f>(Assumptions!$L12/12)+(Assumptions!$L12/12)*Assumptions!$N$48</f>
        <v>1265</v>
      </c>
      <c r="AS112" s="51">
        <f>(Assumptions!$L12/12)+(Assumptions!$L12/12)*Assumptions!$N$48</f>
        <v>1265</v>
      </c>
      <c r="AT112" s="51">
        <f>(Assumptions!$L12/12)+(Assumptions!$L12/12)*Assumptions!$N$48</f>
        <v>1265</v>
      </c>
      <c r="AU112" s="51">
        <f>(Assumptions!$L12/12)+(Assumptions!$L12/12)*Assumptions!$N$48</f>
        <v>1265</v>
      </c>
      <c r="AV112" s="51">
        <f>(Assumptions!$L12/12)+(Assumptions!$L12/12)*Assumptions!$N$48</f>
        <v>1265</v>
      </c>
      <c r="AW112" s="51">
        <f>(Assumptions!$L12/12)+(Assumptions!$L12/12)*Assumptions!$N$48</f>
        <v>1265</v>
      </c>
      <c r="AX112" s="51">
        <f>(Assumptions!$L12/12)+(Assumptions!$L12/12)*Assumptions!$N$48</f>
        <v>1265</v>
      </c>
      <c r="AY112" s="51">
        <f>(Assumptions!$L12/12)+(Assumptions!$L12/12)*Assumptions!$N$48</f>
        <v>1265</v>
      </c>
      <c r="AZ112" s="51">
        <f>(Assumptions!$L12/12)+(Assumptions!$L12/12)*Assumptions!$N$48</f>
        <v>1265</v>
      </c>
      <c r="BA112" s="51">
        <f>(Assumptions!$L12/12)+(Assumptions!$L12/12)*Assumptions!$N$48</f>
        <v>1265</v>
      </c>
      <c r="BB112" s="51">
        <f>(Assumptions!$L12/12)+(Assumptions!$L12/12)*Assumptions!$N$48</f>
        <v>1265</v>
      </c>
      <c r="BC112" s="51">
        <f>(Assumptions!$L12/12)+(Assumptions!$L12/12)*Assumptions!$N$48</f>
        <v>1265</v>
      </c>
      <c r="BD112" s="51">
        <f>(Assumptions!$L12/12)+(Assumptions!$L12/12)*Assumptions!$O$48</f>
        <v>1650</v>
      </c>
      <c r="BE112" s="51">
        <f>(Assumptions!$L12/12)+(Assumptions!$L12/12)*Assumptions!$O$48</f>
        <v>1650</v>
      </c>
      <c r="BF112" s="51">
        <f>(Assumptions!$L12/12)+(Assumptions!$L12/12)*Assumptions!$O$48</f>
        <v>1650</v>
      </c>
      <c r="BG112" s="51">
        <f>(Assumptions!$L12/12)+(Assumptions!$L12/12)*Assumptions!$O$48</f>
        <v>1650</v>
      </c>
      <c r="BH112" s="51">
        <f>(Assumptions!$L12/12)+(Assumptions!$L12/12)*Assumptions!$O$48</f>
        <v>1650</v>
      </c>
      <c r="BI112" s="51">
        <f>(Assumptions!$L12/12)+(Assumptions!$L12/12)*Assumptions!$O$48</f>
        <v>1650</v>
      </c>
      <c r="BJ112" s="51">
        <f>(Assumptions!$L12/12)+(Assumptions!$L12/12)*Assumptions!$O$48</f>
        <v>1650</v>
      </c>
      <c r="BK112" s="51">
        <f>(Assumptions!$L12/12)+(Assumptions!$L12/12)*Assumptions!$O$48</f>
        <v>1650</v>
      </c>
      <c r="BL112" s="51">
        <f>(Assumptions!$L12/12)+(Assumptions!$L12/12)*Assumptions!$O$48</f>
        <v>1650</v>
      </c>
      <c r="BM112" s="51">
        <f>(Assumptions!$L12/12)+(Assumptions!$L12/12)*Assumptions!$O$48</f>
        <v>1650</v>
      </c>
      <c r="BN112" s="51">
        <f>(Assumptions!$L12/12)+(Assumptions!$L12/12)*Assumptions!$O$48</f>
        <v>1650</v>
      </c>
      <c r="BO112" s="51">
        <f>(Assumptions!$L12/12)+(Assumptions!$L12/12)*Assumptions!$O$48</f>
        <v>1650</v>
      </c>
    </row>
    <row r="113" spans="1:67" x14ac:dyDescent="0.25">
      <c r="A113" s="220" t="str">
        <f>Assumptions!$J$13</f>
        <v>Customer Support</v>
      </c>
      <c r="B113" s="202" t="b">
        <f>(H113*12)=Assumptions!L13</f>
        <v>1</v>
      </c>
      <c r="D113" s="214"/>
      <c r="E113" s="214"/>
      <c r="F113" s="214"/>
      <c r="G113" s="214"/>
      <c r="H113" s="221">
        <f>(Assumptions!$L13/12)+(Assumptions!$L13/12)*Assumptions!$K$45</f>
        <v>550</v>
      </c>
      <c r="I113" s="221">
        <f>(Assumptions!$L13/12)+(Assumptions!$L13/12)*Assumptions!$K$45</f>
        <v>550</v>
      </c>
      <c r="J113" s="221">
        <f>(Assumptions!$L13/12)+(Assumptions!$L13/12)*Assumptions!$K$45</f>
        <v>550</v>
      </c>
      <c r="K113" s="221">
        <f>(Assumptions!$L13/12)+(Assumptions!$L13/12)*Assumptions!$K$45</f>
        <v>550</v>
      </c>
      <c r="L113" s="221">
        <f>(Assumptions!$L13/12)+(Assumptions!$L13/12)*Assumptions!$K$45</f>
        <v>550</v>
      </c>
      <c r="M113" s="221">
        <f>(Assumptions!$L13/12)+(Assumptions!$L13/12)*Assumptions!$K$45</f>
        <v>550</v>
      </c>
      <c r="N113" s="221">
        <f>(Assumptions!$L13/12)+(Assumptions!$L13/12)*Assumptions!$K$45</f>
        <v>550</v>
      </c>
      <c r="O113" s="221">
        <f>(Assumptions!$L13/12)+(Assumptions!$L13/12)*Assumptions!$K$45</f>
        <v>550</v>
      </c>
      <c r="P113" s="221">
        <f>(Assumptions!$L13/12)+(Assumptions!$L13/12)*Assumptions!$K$45</f>
        <v>550</v>
      </c>
      <c r="Q113" s="221">
        <f>(Assumptions!$L13/12)+(Assumptions!$L13/12)*Assumptions!$K$45</f>
        <v>550</v>
      </c>
      <c r="R113" s="221">
        <f>(Assumptions!$L13/12)+(Assumptions!$L13/12)*Assumptions!$K$45</f>
        <v>550</v>
      </c>
      <c r="S113" s="221">
        <f>(Assumptions!$L13/12)+(Assumptions!$L13/12)*Assumptions!$K$45</f>
        <v>550</v>
      </c>
      <c r="T113" s="221">
        <f>(Assumptions!$L13/12)+(Assumptions!$L13/12)*Assumptions!$L$45</f>
        <v>2750</v>
      </c>
      <c r="U113" s="221">
        <f>(Assumptions!$L13/12)+(Assumptions!$L13/12)*Assumptions!$L$45</f>
        <v>2750</v>
      </c>
      <c r="V113" s="221">
        <f>(Assumptions!$L13/12)+(Assumptions!$L13/12)*Assumptions!$L$45</f>
        <v>2750</v>
      </c>
      <c r="W113" s="221">
        <f>(Assumptions!$L13/12)+(Assumptions!$L13/12)*Assumptions!$L$45</f>
        <v>2750</v>
      </c>
      <c r="X113" s="221">
        <f>(Assumptions!$L13/12)+(Assumptions!$L13/12)*Assumptions!$L$45</f>
        <v>2750</v>
      </c>
      <c r="Y113" s="221">
        <f>(Assumptions!$L13/12)+(Assumptions!$L13/12)*Assumptions!$L$45</f>
        <v>2750</v>
      </c>
      <c r="Z113" s="221">
        <f>(Assumptions!$L13/12)+(Assumptions!$L13/12)*Assumptions!$L$45</f>
        <v>2750</v>
      </c>
      <c r="AA113" s="221">
        <f>(Assumptions!$L13/12)+(Assumptions!$L13/12)*Assumptions!$L$45</f>
        <v>2750</v>
      </c>
      <c r="AB113" s="221">
        <f>(Assumptions!$L13/12)+(Assumptions!$L13/12)*Assumptions!$L$45</f>
        <v>2750</v>
      </c>
      <c r="AC113" s="221">
        <f>(Assumptions!$L13/12)+(Assumptions!$L13/12)*Assumptions!$L$45</f>
        <v>2750</v>
      </c>
      <c r="AD113" s="221">
        <f>(Assumptions!$L13/12)+(Assumptions!$L13/12)*Assumptions!$L$45</f>
        <v>2750</v>
      </c>
      <c r="AE113" s="221">
        <f>(Assumptions!$L13/12)+(Assumptions!$L13/12)*Assumptions!$L$45</f>
        <v>2750</v>
      </c>
      <c r="AF113" s="221">
        <f>(Assumptions!$L13/12)+(Assumptions!$L13/12)*Assumptions!$M$45</f>
        <v>5500</v>
      </c>
      <c r="AG113" s="221">
        <f>(Assumptions!$L13/12)+(Assumptions!$L13/12)*Assumptions!$M$45</f>
        <v>5500</v>
      </c>
      <c r="AH113" s="221">
        <f>(Assumptions!$L13/12)+(Assumptions!$L13/12)*Assumptions!$M$45</f>
        <v>5500</v>
      </c>
      <c r="AI113" s="221">
        <f>(Assumptions!$L13/12)+(Assumptions!$L13/12)*Assumptions!$M$45</f>
        <v>5500</v>
      </c>
      <c r="AJ113" s="221">
        <f>(Assumptions!$L13/12)+(Assumptions!$L13/12)*Assumptions!$M$45</f>
        <v>5500</v>
      </c>
      <c r="AK113" s="221">
        <f>(Assumptions!$L13/12)+(Assumptions!$L13/12)*Assumptions!$M$45</f>
        <v>5500</v>
      </c>
      <c r="AL113" s="221">
        <f>(Assumptions!$L13/12)+(Assumptions!$L13/12)*Assumptions!$M$45</f>
        <v>5500</v>
      </c>
      <c r="AM113" s="221">
        <f>(Assumptions!$L13/12)+(Assumptions!$L13/12)*Assumptions!$M$45</f>
        <v>5500</v>
      </c>
      <c r="AN113" s="221">
        <f>(Assumptions!$L13/12)+(Assumptions!$L13/12)*Assumptions!$M$45</f>
        <v>5500</v>
      </c>
      <c r="AO113" s="221">
        <f>(Assumptions!$L13/12)+(Assumptions!$L13/12)*Assumptions!$M$45</f>
        <v>5500</v>
      </c>
      <c r="AP113" s="221">
        <f>(Assumptions!$L13/12)+(Assumptions!$L13/12)*Assumptions!$M$45</f>
        <v>5500</v>
      </c>
      <c r="AQ113" s="221">
        <f>(Assumptions!$L13/12)+(Assumptions!$L13/12)*Assumptions!$M$45</f>
        <v>5500</v>
      </c>
      <c r="AR113" s="221">
        <f>(Assumptions!$L13/12)+(Assumptions!$L13/12)*Assumptions!$N$45</f>
        <v>8800</v>
      </c>
      <c r="AS113" s="221">
        <f>(Assumptions!$L13/12)+(Assumptions!$L13/12)*Assumptions!$N$45</f>
        <v>8800</v>
      </c>
      <c r="AT113" s="221">
        <f>(Assumptions!$L13/12)+(Assumptions!$L13/12)*Assumptions!$N$45</f>
        <v>8800</v>
      </c>
      <c r="AU113" s="221">
        <f>(Assumptions!$L13/12)+(Assumptions!$L13/12)*Assumptions!$N$45</f>
        <v>8800</v>
      </c>
      <c r="AV113" s="221">
        <f>(Assumptions!$L13/12)+(Assumptions!$L13/12)*Assumptions!$N$45</f>
        <v>8800</v>
      </c>
      <c r="AW113" s="221">
        <f>(Assumptions!$L13/12)+(Assumptions!$L13/12)*Assumptions!$N$45</f>
        <v>8800</v>
      </c>
      <c r="AX113" s="221">
        <f>(Assumptions!$L13/12)+(Assumptions!$L13/12)*Assumptions!$N$45</f>
        <v>8800</v>
      </c>
      <c r="AY113" s="221">
        <f>(Assumptions!$L13/12)+(Assumptions!$L13/12)*Assumptions!$N$45</f>
        <v>8800</v>
      </c>
      <c r="AZ113" s="221">
        <f>(Assumptions!$L13/12)+(Assumptions!$L13/12)*Assumptions!$N$45</f>
        <v>8800</v>
      </c>
      <c r="BA113" s="221">
        <f>(Assumptions!$L13/12)+(Assumptions!$L13/12)*Assumptions!$N$45</f>
        <v>8800</v>
      </c>
      <c r="BB113" s="221">
        <f>(Assumptions!$L13/12)+(Assumptions!$L13/12)*Assumptions!$N$45</f>
        <v>8800</v>
      </c>
      <c r="BC113" s="221">
        <f>(Assumptions!$L13/12)+(Assumptions!$L13/12)*Assumptions!$N$45</f>
        <v>8800</v>
      </c>
      <c r="BD113" s="221">
        <f>(Assumptions!$L13/12)+(Assumptions!$L13/12)*Assumptions!$O$45</f>
        <v>12650</v>
      </c>
      <c r="BE113" s="221">
        <f>(Assumptions!$L13/12)+(Assumptions!$L13/12)*Assumptions!$O$45</f>
        <v>12650</v>
      </c>
      <c r="BF113" s="221">
        <f>(Assumptions!$L13/12)+(Assumptions!$L13/12)*Assumptions!$O$45</f>
        <v>12650</v>
      </c>
      <c r="BG113" s="221">
        <f>(Assumptions!$L13/12)+(Assumptions!$L13/12)*Assumptions!$O$45</f>
        <v>12650</v>
      </c>
      <c r="BH113" s="221">
        <f>(Assumptions!$L13/12)+(Assumptions!$L13/12)*Assumptions!$O$45</f>
        <v>12650</v>
      </c>
      <c r="BI113" s="221">
        <f>(Assumptions!$L13/12)+(Assumptions!$L13/12)*Assumptions!$O$45</f>
        <v>12650</v>
      </c>
      <c r="BJ113" s="221">
        <f>(Assumptions!$L13/12)+(Assumptions!$L13/12)*Assumptions!$O$45</f>
        <v>12650</v>
      </c>
      <c r="BK113" s="221">
        <f>(Assumptions!$L13/12)+(Assumptions!$L13/12)*Assumptions!$O$45</f>
        <v>12650</v>
      </c>
      <c r="BL113" s="221">
        <f>(Assumptions!$L13/12)+(Assumptions!$L13/12)*Assumptions!$O$45</f>
        <v>12650</v>
      </c>
      <c r="BM113" s="221">
        <f>(Assumptions!$L13/12)+(Assumptions!$L13/12)*Assumptions!$O$45</f>
        <v>12650</v>
      </c>
      <c r="BN113" s="221">
        <f>(Assumptions!$L13/12)+(Assumptions!$L13/12)*Assumptions!$O$45</f>
        <v>12650</v>
      </c>
      <c r="BO113" s="221">
        <f>(Assumptions!$L13/12)+(Assumptions!$L13/12)*Assumptions!$O$45</f>
        <v>12650</v>
      </c>
    </row>
    <row r="114" spans="1:67" s="25" customFormat="1" x14ac:dyDescent="0.25">
      <c r="A114" s="25" t="s">
        <v>243</v>
      </c>
      <c r="B114" s="202">
        <f>MAX(D114:AQ114)</f>
        <v>23100</v>
      </c>
      <c r="D114" s="25">
        <f>SUM(D109:D113)</f>
        <v>0</v>
      </c>
      <c r="E114" s="25">
        <f t="shared" ref="E114:BO114" si="29">SUM(E109:E113)</f>
        <v>0</v>
      </c>
      <c r="F114" s="25">
        <f t="shared" si="29"/>
        <v>0</v>
      </c>
      <c r="G114" s="25">
        <f t="shared" si="29"/>
        <v>0</v>
      </c>
      <c r="H114" s="25">
        <f t="shared" si="29"/>
        <v>5775</v>
      </c>
      <c r="I114" s="25">
        <f t="shared" si="29"/>
        <v>5775</v>
      </c>
      <c r="J114" s="25">
        <f t="shared" si="29"/>
        <v>5775</v>
      </c>
      <c r="K114" s="25">
        <f t="shared" si="29"/>
        <v>5775</v>
      </c>
      <c r="L114" s="25">
        <f t="shared" si="29"/>
        <v>5775</v>
      </c>
      <c r="M114" s="25">
        <f t="shared" si="29"/>
        <v>5775</v>
      </c>
      <c r="N114" s="25">
        <f t="shared" si="29"/>
        <v>5775</v>
      </c>
      <c r="O114" s="25">
        <f t="shared" si="29"/>
        <v>5775</v>
      </c>
      <c r="P114" s="25">
        <f t="shared" si="29"/>
        <v>5775</v>
      </c>
      <c r="Q114" s="25">
        <f t="shared" si="29"/>
        <v>5775</v>
      </c>
      <c r="R114" s="25">
        <f t="shared" si="29"/>
        <v>5775</v>
      </c>
      <c r="S114" s="25">
        <f t="shared" si="29"/>
        <v>5775</v>
      </c>
      <c r="T114" s="25">
        <f t="shared" si="29"/>
        <v>13406.25</v>
      </c>
      <c r="U114" s="25">
        <f t="shared" si="29"/>
        <v>13406.25</v>
      </c>
      <c r="V114" s="25">
        <f t="shared" si="29"/>
        <v>13406.25</v>
      </c>
      <c r="W114" s="25">
        <f t="shared" si="29"/>
        <v>13406.25</v>
      </c>
      <c r="X114" s="25">
        <f t="shared" si="29"/>
        <v>13406.25</v>
      </c>
      <c r="Y114" s="25">
        <f t="shared" si="29"/>
        <v>13406.25</v>
      </c>
      <c r="Z114" s="25">
        <f t="shared" si="29"/>
        <v>13406.25</v>
      </c>
      <c r="AA114" s="25">
        <f t="shared" si="29"/>
        <v>13406.25</v>
      </c>
      <c r="AB114" s="25">
        <f t="shared" si="29"/>
        <v>13406.25</v>
      </c>
      <c r="AC114" s="25">
        <f t="shared" si="29"/>
        <v>13406.25</v>
      </c>
      <c r="AD114" s="25">
        <f t="shared" si="29"/>
        <v>13406.25</v>
      </c>
      <c r="AE114" s="25">
        <f t="shared" si="29"/>
        <v>13406.25</v>
      </c>
      <c r="AF114" s="25">
        <f t="shared" si="29"/>
        <v>23100</v>
      </c>
      <c r="AG114" s="25">
        <f t="shared" si="29"/>
        <v>23100</v>
      </c>
      <c r="AH114" s="25">
        <f t="shared" si="29"/>
        <v>23100</v>
      </c>
      <c r="AI114" s="25">
        <f t="shared" si="29"/>
        <v>23100</v>
      </c>
      <c r="AJ114" s="25">
        <f t="shared" si="29"/>
        <v>23100</v>
      </c>
      <c r="AK114" s="25">
        <f t="shared" si="29"/>
        <v>23100</v>
      </c>
      <c r="AL114" s="25">
        <f t="shared" si="29"/>
        <v>23100</v>
      </c>
      <c r="AM114" s="25">
        <f t="shared" si="29"/>
        <v>23100</v>
      </c>
      <c r="AN114" s="25">
        <f t="shared" si="29"/>
        <v>23100</v>
      </c>
      <c r="AO114" s="25">
        <f t="shared" si="29"/>
        <v>23100</v>
      </c>
      <c r="AP114" s="25">
        <f t="shared" si="29"/>
        <v>23100</v>
      </c>
      <c r="AQ114" s="25">
        <f t="shared" si="29"/>
        <v>23100</v>
      </c>
      <c r="AR114" s="25">
        <f t="shared" si="29"/>
        <v>35887.5</v>
      </c>
      <c r="AS114" s="25">
        <f t="shared" si="29"/>
        <v>35887.5</v>
      </c>
      <c r="AT114" s="25">
        <f t="shared" si="29"/>
        <v>35887.5</v>
      </c>
      <c r="AU114" s="25">
        <f t="shared" si="29"/>
        <v>35887.5</v>
      </c>
      <c r="AV114" s="25">
        <f t="shared" si="29"/>
        <v>35887.5</v>
      </c>
      <c r="AW114" s="25">
        <f t="shared" si="29"/>
        <v>35887.5</v>
      </c>
      <c r="AX114" s="25">
        <f t="shared" si="29"/>
        <v>35887.5</v>
      </c>
      <c r="AY114" s="25">
        <f t="shared" si="29"/>
        <v>35887.5</v>
      </c>
      <c r="AZ114" s="25">
        <f t="shared" si="29"/>
        <v>35887.5</v>
      </c>
      <c r="BA114" s="25">
        <f t="shared" si="29"/>
        <v>35887.5</v>
      </c>
      <c r="BB114" s="25">
        <f t="shared" si="29"/>
        <v>35887.5</v>
      </c>
      <c r="BC114" s="25">
        <f t="shared" si="29"/>
        <v>35887.5</v>
      </c>
      <c r="BD114" s="25">
        <f t="shared" si="29"/>
        <v>50325</v>
      </c>
      <c r="BE114" s="25">
        <f t="shared" si="29"/>
        <v>50325</v>
      </c>
      <c r="BF114" s="25">
        <f t="shared" si="29"/>
        <v>50325</v>
      </c>
      <c r="BG114" s="25">
        <f t="shared" si="29"/>
        <v>50325</v>
      </c>
      <c r="BH114" s="25">
        <f t="shared" si="29"/>
        <v>50325</v>
      </c>
      <c r="BI114" s="25">
        <f t="shared" si="29"/>
        <v>50325</v>
      </c>
      <c r="BJ114" s="25">
        <f t="shared" si="29"/>
        <v>50325</v>
      </c>
      <c r="BK114" s="25">
        <f t="shared" si="29"/>
        <v>50325</v>
      </c>
      <c r="BL114" s="25">
        <f t="shared" si="29"/>
        <v>50325</v>
      </c>
      <c r="BM114" s="25">
        <f t="shared" si="29"/>
        <v>50325</v>
      </c>
      <c r="BN114" s="25">
        <f t="shared" si="29"/>
        <v>50325</v>
      </c>
      <c r="BO114" s="25">
        <f t="shared" si="29"/>
        <v>50325</v>
      </c>
    </row>
    <row r="115" spans="1:67" x14ac:dyDescent="0.25">
      <c r="B115" s="202"/>
    </row>
    <row r="116" spans="1:67" x14ac:dyDescent="0.25">
      <c r="A116" s="197" t="s">
        <v>191</v>
      </c>
      <c r="B116" s="202"/>
    </row>
    <row r="117" spans="1:67" x14ac:dyDescent="0.25">
      <c r="A117" s="220" t="str">
        <f>Assumptions!$J$16</f>
        <v>CTO</v>
      </c>
      <c r="B117" s="202" t="b">
        <f>(H117*12)=Assumptions!L16</f>
        <v>1</v>
      </c>
      <c r="D117" s="214"/>
      <c r="E117" s="214"/>
      <c r="F117" s="214"/>
      <c r="G117" s="214"/>
      <c r="H117" s="221">
        <f>(Assumptions!$L16/12)+(Assumptions!$L16/12)*Assumptions!$K$45</f>
        <v>1650</v>
      </c>
      <c r="I117" s="221">
        <f>(Assumptions!$L16/12)+(Assumptions!$L16/12)*Assumptions!$K$45</f>
        <v>1650</v>
      </c>
      <c r="J117" s="221">
        <f>(Assumptions!$L16/12)+(Assumptions!$L16/12)*Assumptions!$K$45</f>
        <v>1650</v>
      </c>
      <c r="K117" s="221">
        <f>(Assumptions!$L16/12)+(Assumptions!$L16/12)*Assumptions!$K$45</f>
        <v>1650</v>
      </c>
      <c r="L117" s="221">
        <f>(Assumptions!$L16/12)+(Assumptions!$L16/12)*Assumptions!$K$45</f>
        <v>1650</v>
      </c>
      <c r="M117" s="221">
        <f>(Assumptions!$L16/12)+(Assumptions!$L16/12)*Assumptions!$K$45</f>
        <v>1650</v>
      </c>
      <c r="N117" s="221">
        <f>(Assumptions!$L16/12)+(Assumptions!$L16/12)*Assumptions!$K$45</f>
        <v>1650</v>
      </c>
      <c r="O117" s="221">
        <f>(Assumptions!$L16/12)+(Assumptions!$L16/12)*Assumptions!$K$45</f>
        <v>1650</v>
      </c>
      <c r="P117" s="221">
        <f>(Assumptions!$L16/12)+(Assumptions!$L16/12)*Assumptions!$K$45</f>
        <v>1650</v>
      </c>
      <c r="Q117" s="221">
        <f>(Assumptions!$L16/12)+(Assumptions!$L16/12)*Assumptions!$K$45</f>
        <v>1650</v>
      </c>
      <c r="R117" s="221">
        <f>(Assumptions!$L16/12)+(Assumptions!$L16/12)*Assumptions!$K$45</f>
        <v>1650</v>
      </c>
      <c r="S117" s="221">
        <f>(Assumptions!$L16/12)+(Assumptions!$L16/12)*Assumptions!$K$45</f>
        <v>1650</v>
      </c>
      <c r="T117" s="221">
        <f>(Assumptions!$L16/12)+(Assumptions!$L16/12)*Assumptions!$L$45</f>
        <v>8250</v>
      </c>
      <c r="U117" s="221">
        <f>(Assumptions!$L16/12)+(Assumptions!$L16/12)*Assumptions!$L$45</f>
        <v>8250</v>
      </c>
      <c r="V117" s="221">
        <f>(Assumptions!$L16/12)+(Assumptions!$L16/12)*Assumptions!$L$45</f>
        <v>8250</v>
      </c>
      <c r="W117" s="221">
        <f>(Assumptions!$L16/12)+(Assumptions!$L16/12)*Assumptions!$L$45</f>
        <v>8250</v>
      </c>
      <c r="X117" s="221">
        <f>(Assumptions!$L16/12)+(Assumptions!$L16/12)*Assumptions!$L$45</f>
        <v>8250</v>
      </c>
      <c r="Y117" s="221">
        <f>(Assumptions!$L16/12)+(Assumptions!$L16/12)*Assumptions!$L$45</f>
        <v>8250</v>
      </c>
      <c r="Z117" s="221">
        <f>(Assumptions!$L16/12)+(Assumptions!$L16/12)*Assumptions!$L$45</f>
        <v>8250</v>
      </c>
      <c r="AA117" s="221">
        <f>(Assumptions!$L16/12)+(Assumptions!$L16/12)*Assumptions!$L$45</f>
        <v>8250</v>
      </c>
      <c r="AB117" s="221">
        <f>(Assumptions!$L16/12)+(Assumptions!$L16/12)*Assumptions!$L$45</f>
        <v>8250</v>
      </c>
      <c r="AC117" s="221">
        <f>(Assumptions!$L16/12)+(Assumptions!$L16/12)*Assumptions!$L$45</f>
        <v>8250</v>
      </c>
      <c r="AD117" s="221">
        <f>(Assumptions!$L16/12)+(Assumptions!$L16/12)*Assumptions!$L$45</f>
        <v>8250</v>
      </c>
      <c r="AE117" s="221">
        <f>(Assumptions!$L16/12)+(Assumptions!$L16/12)*Assumptions!$L$45</f>
        <v>8250</v>
      </c>
      <c r="AF117" s="221">
        <f>(Assumptions!$L16/12)+(Assumptions!$L16/12)*Assumptions!$M$45</f>
        <v>16500</v>
      </c>
      <c r="AG117" s="221">
        <f>(Assumptions!$L16/12)+(Assumptions!$L16/12)*Assumptions!$M$45</f>
        <v>16500</v>
      </c>
      <c r="AH117" s="221">
        <f>(Assumptions!$L16/12)+(Assumptions!$L16/12)*Assumptions!$M$45</f>
        <v>16500</v>
      </c>
      <c r="AI117" s="221">
        <f>(Assumptions!$L16/12)+(Assumptions!$L16/12)*Assumptions!$M$45</f>
        <v>16500</v>
      </c>
      <c r="AJ117" s="221">
        <f>(Assumptions!$L16/12)+(Assumptions!$L16/12)*Assumptions!$M$45</f>
        <v>16500</v>
      </c>
      <c r="AK117" s="221">
        <f>(Assumptions!$L16/12)+(Assumptions!$L16/12)*Assumptions!$M$45</f>
        <v>16500</v>
      </c>
      <c r="AL117" s="221">
        <f>(Assumptions!$L16/12)+(Assumptions!$L16/12)*Assumptions!$M$45</f>
        <v>16500</v>
      </c>
      <c r="AM117" s="221">
        <f>(Assumptions!$L16/12)+(Assumptions!$L16/12)*Assumptions!$M$45</f>
        <v>16500</v>
      </c>
      <c r="AN117" s="221">
        <f>(Assumptions!$L16/12)+(Assumptions!$L16/12)*Assumptions!$M$45</f>
        <v>16500</v>
      </c>
      <c r="AO117" s="221">
        <f>(Assumptions!$L16/12)+(Assumptions!$L16/12)*Assumptions!$M$45</f>
        <v>16500</v>
      </c>
      <c r="AP117" s="221">
        <f>(Assumptions!$L16/12)+(Assumptions!$L16/12)*Assumptions!$M$45</f>
        <v>16500</v>
      </c>
      <c r="AQ117" s="221">
        <f>(Assumptions!$L16/12)+(Assumptions!$L16/12)*Assumptions!$M$45</f>
        <v>16500</v>
      </c>
      <c r="AR117" s="221">
        <f>(Assumptions!$L16/12)+(Assumptions!$L16/12)*Assumptions!$N$45</f>
        <v>26400</v>
      </c>
      <c r="AS117" s="221">
        <f>(Assumptions!$L16/12)+(Assumptions!$L16/12)*Assumptions!$N$45</f>
        <v>26400</v>
      </c>
      <c r="AT117" s="221">
        <f>(Assumptions!$L16/12)+(Assumptions!$L16/12)*Assumptions!$N$45</f>
        <v>26400</v>
      </c>
      <c r="AU117" s="221">
        <f>(Assumptions!$L16/12)+(Assumptions!$L16/12)*Assumptions!$N$45</f>
        <v>26400</v>
      </c>
      <c r="AV117" s="221">
        <f>(Assumptions!$L16/12)+(Assumptions!$L16/12)*Assumptions!$N$45</f>
        <v>26400</v>
      </c>
      <c r="AW117" s="221">
        <f>(Assumptions!$L16/12)+(Assumptions!$L16/12)*Assumptions!$N$45</f>
        <v>26400</v>
      </c>
      <c r="AX117" s="221">
        <f>(Assumptions!$L16/12)+(Assumptions!$L16/12)*Assumptions!$N$45</f>
        <v>26400</v>
      </c>
      <c r="AY117" s="221">
        <f>(Assumptions!$L16/12)+(Assumptions!$L16/12)*Assumptions!$N$45</f>
        <v>26400</v>
      </c>
      <c r="AZ117" s="221">
        <f>(Assumptions!$L16/12)+(Assumptions!$L16/12)*Assumptions!$N$45</f>
        <v>26400</v>
      </c>
      <c r="BA117" s="221">
        <f>(Assumptions!$L16/12)+(Assumptions!$L16/12)*Assumptions!$N$45</f>
        <v>26400</v>
      </c>
      <c r="BB117" s="221">
        <f>(Assumptions!$L16/12)+(Assumptions!$L16/12)*Assumptions!$N$45</f>
        <v>26400</v>
      </c>
      <c r="BC117" s="221">
        <f>(Assumptions!$L16/12)+(Assumptions!$L16/12)*Assumptions!$N$45</f>
        <v>26400</v>
      </c>
      <c r="BD117" s="221">
        <f>(Assumptions!$L16/12)+(Assumptions!$L16/12)*Assumptions!$O$45</f>
        <v>37950</v>
      </c>
      <c r="BE117" s="221">
        <f>(Assumptions!$L16/12)+(Assumptions!$L16/12)*Assumptions!$O$45</f>
        <v>37950</v>
      </c>
      <c r="BF117" s="221">
        <f>(Assumptions!$L16/12)+(Assumptions!$L16/12)*Assumptions!$O$45</f>
        <v>37950</v>
      </c>
      <c r="BG117" s="221">
        <f>(Assumptions!$L16/12)+(Assumptions!$L16/12)*Assumptions!$O$45</f>
        <v>37950</v>
      </c>
      <c r="BH117" s="221">
        <f>(Assumptions!$L16/12)+(Assumptions!$L16/12)*Assumptions!$O$45</f>
        <v>37950</v>
      </c>
      <c r="BI117" s="221">
        <f>(Assumptions!$L16/12)+(Assumptions!$L16/12)*Assumptions!$O$45</f>
        <v>37950</v>
      </c>
      <c r="BJ117" s="221">
        <f>(Assumptions!$L16/12)+(Assumptions!$L16/12)*Assumptions!$O$45</f>
        <v>37950</v>
      </c>
      <c r="BK117" s="221">
        <f>(Assumptions!$L16/12)+(Assumptions!$L16/12)*Assumptions!$O$45</f>
        <v>37950</v>
      </c>
      <c r="BL117" s="221">
        <f>(Assumptions!$L16/12)+(Assumptions!$L16/12)*Assumptions!$O$45</f>
        <v>37950</v>
      </c>
      <c r="BM117" s="221">
        <f>(Assumptions!$L16/12)+(Assumptions!$L16/12)*Assumptions!$O$45</f>
        <v>37950</v>
      </c>
      <c r="BN117" s="221">
        <f>(Assumptions!$L16/12)+(Assumptions!$L16/12)*Assumptions!$O$45</f>
        <v>37950</v>
      </c>
      <c r="BO117" s="221">
        <f>(Assumptions!$L16/12)+(Assumptions!$L16/12)*Assumptions!$O$45</f>
        <v>37950</v>
      </c>
    </row>
    <row r="118" spans="1:67" x14ac:dyDescent="0.25">
      <c r="A118" s="220" t="str">
        <f>Assumptions!$J$17</f>
        <v>CISO</v>
      </c>
      <c r="B118" s="202" t="b">
        <f>(H118*12)=Assumptions!L17</f>
        <v>1</v>
      </c>
      <c r="D118" s="214"/>
      <c r="E118" s="214"/>
      <c r="F118" s="214"/>
      <c r="G118" s="214"/>
      <c r="H118" s="221">
        <f>(Assumptions!$L17/12)+(Assumptions!$L17/12)*Assumptions!$K$45</f>
        <v>1375</v>
      </c>
      <c r="I118" s="221">
        <f>(Assumptions!$L17/12)+(Assumptions!$L17/12)*Assumptions!$K$45</f>
        <v>1375</v>
      </c>
      <c r="J118" s="221">
        <f>(Assumptions!$L17/12)+(Assumptions!$L17/12)*Assumptions!$K$45</f>
        <v>1375</v>
      </c>
      <c r="K118" s="221">
        <f>(Assumptions!$L17/12)+(Assumptions!$L17/12)*Assumptions!$K$45</f>
        <v>1375</v>
      </c>
      <c r="L118" s="221">
        <f>(Assumptions!$L17/12)+(Assumptions!$L17/12)*Assumptions!$K$45</f>
        <v>1375</v>
      </c>
      <c r="M118" s="221">
        <f>(Assumptions!$L17/12)+(Assumptions!$L17/12)*Assumptions!$K$45</f>
        <v>1375</v>
      </c>
      <c r="N118" s="221">
        <f>(Assumptions!$L17/12)+(Assumptions!$L17/12)*Assumptions!$K$45</f>
        <v>1375</v>
      </c>
      <c r="O118" s="221">
        <f>(Assumptions!$L17/12)+(Assumptions!$L17/12)*Assumptions!$K$45</f>
        <v>1375</v>
      </c>
      <c r="P118" s="221">
        <f>(Assumptions!$L17/12)+(Assumptions!$L17/12)*Assumptions!$K$45</f>
        <v>1375</v>
      </c>
      <c r="Q118" s="221">
        <f>(Assumptions!$L17/12)+(Assumptions!$L17/12)*Assumptions!$K$45</f>
        <v>1375</v>
      </c>
      <c r="R118" s="221">
        <f>(Assumptions!$L17/12)+(Assumptions!$L17/12)*Assumptions!$K$45</f>
        <v>1375</v>
      </c>
      <c r="S118" s="221">
        <f>(Assumptions!$L17/12)+(Assumptions!$L17/12)*Assumptions!$K$45</f>
        <v>1375</v>
      </c>
      <c r="T118" s="221">
        <f>(Assumptions!$L17/12)+(Assumptions!$L17/12)*Assumptions!$L$45</f>
        <v>6875</v>
      </c>
      <c r="U118" s="221">
        <f>(Assumptions!$L17/12)+(Assumptions!$L17/12)*Assumptions!$L$45</f>
        <v>6875</v>
      </c>
      <c r="V118" s="221">
        <f>(Assumptions!$L17/12)+(Assumptions!$L17/12)*Assumptions!$L$45</f>
        <v>6875</v>
      </c>
      <c r="W118" s="221">
        <f>(Assumptions!$L17/12)+(Assumptions!$L17/12)*Assumptions!$L$45</f>
        <v>6875</v>
      </c>
      <c r="X118" s="221">
        <f>(Assumptions!$L17/12)+(Assumptions!$L17/12)*Assumptions!$L$45</f>
        <v>6875</v>
      </c>
      <c r="Y118" s="221">
        <f>(Assumptions!$L17/12)+(Assumptions!$L17/12)*Assumptions!$L$45</f>
        <v>6875</v>
      </c>
      <c r="Z118" s="221">
        <f>(Assumptions!$L17/12)+(Assumptions!$L17/12)*Assumptions!$L$45</f>
        <v>6875</v>
      </c>
      <c r="AA118" s="221">
        <f>(Assumptions!$L17/12)+(Assumptions!$L17/12)*Assumptions!$L$45</f>
        <v>6875</v>
      </c>
      <c r="AB118" s="221">
        <f>(Assumptions!$L17/12)+(Assumptions!$L17/12)*Assumptions!$L$45</f>
        <v>6875</v>
      </c>
      <c r="AC118" s="221">
        <f>(Assumptions!$L17/12)+(Assumptions!$L17/12)*Assumptions!$L$45</f>
        <v>6875</v>
      </c>
      <c r="AD118" s="221">
        <f>(Assumptions!$L17/12)+(Assumptions!$L17/12)*Assumptions!$L$45</f>
        <v>6875</v>
      </c>
      <c r="AE118" s="221">
        <f>(Assumptions!$L17/12)+(Assumptions!$L17/12)*Assumptions!$L$45</f>
        <v>6875</v>
      </c>
      <c r="AF118" s="221">
        <f>(Assumptions!$L17/12)+(Assumptions!$L17/12)*Assumptions!$M$45</f>
        <v>13750</v>
      </c>
      <c r="AG118" s="221">
        <f>(Assumptions!$L17/12)+(Assumptions!$L17/12)*Assumptions!$M$45</f>
        <v>13750</v>
      </c>
      <c r="AH118" s="221">
        <f>(Assumptions!$L17/12)+(Assumptions!$L17/12)*Assumptions!$M$45</f>
        <v>13750</v>
      </c>
      <c r="AI118" s="221">
        <f>(Assumptions!$L17/12)+(Assumptions!$L17/12)*Assumptions!$M$45</f>
        <v>13750</v>
      </c>
      <c r="AJ118" s="221">
        <f>(Assumptions!$L17/12)+(Assumptions!$L17/12)*Assumptions!$M$45</f>
        <v>13750</v>
      </c>
      <c r="AK118" s="221">
        <f>(Assumptions!$L17/12)+(Assumptions!$L17/12)*Assumptions!$M$45</f>
        <v>13750</v>
      </c>
      <c r="AL118" s="221">
        <f>(Assumptions!$L17/12)+(Assumptions!$L17/12)*Assumptions!$M$45</f>
        <v>13750</v>
      </c>
      <c r="AM118" s="221">
        <f>(Assumptions!$L17/12)+(Assumptions!$L17/12)*Assumptions!$M$45</f>
        <v>13750</v>
      </c>
      <c r="AN118" s="221">
        <f>(Assumptions!$L17/12)+(Assumptions!$L17/12)*Assumptions!$M$45</f>
        <v>13750</v>
      </c>
      <c r="AO118" s="221">
        <f>(Assumptions!$L17/12)+(Assumptions!$L17/12)*Assumptions!$M$45</f>
        <v>13750</v>
      </c>
      <c r="AP118" s="221">
        <f>(Assumptions!$L17/12)+(Assumptions!$L17/12)*Assumptions!$M$45</f>
        <v>13750</v>
      </c>
      <c r="AQ118" s="221">
        <f>(Assumptions!$L17/12)+(Assumptions!$L17/12)*Assumptions!$M$45</f>
        <v>13750</v>
      </c>
      <c r="AR118" s="221">
        <f>(Assumptions!$L17/12)+(Assumptions!$L17/12)*Assumptions!$N$45</f>
        <v>22000</v>
      </c>
      <c r="AS118" s="221">
        <f>(Assumptions!$L17/12)+(Assumptions!$L17/12)*Assumptions!$N$45</f>
        <v>22000</v>
      </c>
      <c r="AT118" s="221">
        <f>(Assumptions!$L17/12)+(Assumptions!$L17/12)*Assumptions!$N$45</f>
        <v>22000</v>
      </c>
      <c r="AU118" s="221">
        <f>(Assumptions!$L17/12)+(Assumptions!$L17/12)*Assumptions!$N$45</f>
        <v>22000</v>
      </c>
      <c r="AV118" s="221">
        <f>(Assumptions!$L17/12)+(Assumptions!$L17/12)*Assumptions!$N$45</f>
        <v>22000</v>
      </c>
      <c r="AW118" s="221">
        <f>(Assumptions!$L17/12)+(Assumptions!$L17/12)*Assumptions!$N$45</f>
        <v>22000</v>
      </c>
      <c r="AX118" s="221">
        <f>(Assumptions!$L17/12)+(Assumptions!$L17/12)*Assumptions!$N$45</f>
        <v>22000</v>
      </c>
      <c r="AY118" s="221">
        <f>(Assumptions!$L17/12)+(Assumptions!$L17/12)*Assumptions!$N$45</f>
        <v>22000</v>
      </c>
      <c r="AZ118" s="221">
        <f>(Assumptions!$L17/12)+(Assumptions!$L17/12)*Assumptions!$N$45</f>
        <v>22000</v>
      </c>
      <c r="BA118" s="221">
        <f>(Assumptions!$L17/12)+(Assumptions!$L17/12)*Assumptions!$N$45</f>
        <v>22000</v>
      </c>
      <c r="BB118" s="221">
        <f>(Assumptions!$L17/12)+(Assumptions!$L17/12)*Assumptions!$N$45</f>
        <v>22000</v>
      </c>
      <c r="BC118" s="221">
        <f>(Assumptions!$L17/12)+(Assumptions!$L17/12)*Assumptions!$N$45</f>
        <v>22000</v>
      </c>
      <c r="BD118" s="221">
        <f>(Assumptions!$L17/12)+(Assumptions!$L17/12)*Assumptions!$O$45</f>
        <v>31625</v>
      </c>
      <c r="BE118" s="221">
        <f>(Assumptions!$L17/12)+(Assumptions!$L17/12)*Assumptions!$O$45</f>
        <v>31625</v>
      </c>
      <c r="BF118" s="221">
        <f>(Assumptions!$L17/12)+(Assumptions!$L17/12)*Assumptions!$O$45</f>
        <v>31625</v>
      </c>
      <c r="BG118" s="221">
        <f>(Assumptions!$L17/12)+(Assumptions!$L17/12)*Assumptions!$O$45</f>
        <v>31625</v>
      </c>
      <c r="BH118" s="221">
        <f>(Assumptions!$L17/12)+(Assumptions!$L17/12)*Assumptions!$O$45</f>
        <v>31625</v>
      </c>
      <c r="BI118" s="221">
        <f>(Assumptions!$L17/12)+(Assumptions!$L17/12)*Assumptions!$O$45</f>
        <v>31625</v>
      </c>
      <c r="BJ118" s="221">
        <f>(Assumptions!$L17/12)+(Assumptions!$L17/12)*Assumptions!$O$45</f>
        <v>31625</v>
      </c>
      <c r="BK118" s="221">
        <f>(Assumptions!$L17/12)+(Assumptions!$L17/12)*Assumptions!$O$45</f>
        <v>31625</v>
      </c>
      <c r="BL118" s="221">
        <f>(Assumptions!$L17/12)+(Assumptions!$L17/12)*Assumptions!$O$45</f>
        <v>31625</v>
      </c>
      <c r="BM118" s="221">
        <f>(Assumptions!$L17/12)+(Assumptions!$L17/12)*Assumptions!$O$45</f>
        <v>31625</v>
      </c>
      <c r="BN118" s="221">
        <f>(Assumptions!$L17/12)+(Assumptions!$L17/12)*Assumptions!$O$45</f>
        <v>31625</v>
      </c>
      <c r="BO118" s="221">
        <f>(Assumptions!$L17/12)+(Assumptions!$L17/12)*Assumptions!$O$45</f>
        <v>31625</v>
      </c>
    </row>
    <row r="119" spans="1:67" x14ac:dyDescent="0.25">
      <c r="A119" s="220" t="str">
        <f>Assumptions!$J$18</f>
        <v>InfoSec Consultant</v>
      </c>
      <c r="B119" s="202" t="b">
        <f>(H119*12)=Assumptions!L18</f>
        <v>1</v>
      </c>
      <c r="D119" s="214"/>
      <c r="E119" s="214"/>
      <c r="F119" s="214"/>
      <c r="G119" s="214"/>
      <c r="H119" s="221">
        <f>(Assumptions!$L18/12)+(Assumptions!$L18/12)*Assumptions!$K$45</f>
        <v>916.66666666666663</v>
      </c>
      <c r="I119" s="221">
        <f>(Assumptions!$L18/12)+(Assumptions!$L18/12)*Assumptions!$K$45</f>
        <v>916.66666666666663</v>
      </c>
      <c r="J119" s="221">
        <f>(Assumptions!$L18/12)+(Assumptions!$L18/12)*Assumptions!$K$45</f>
        <v>916.66666666666663</v>
      </c>
      <c r="K119" s="221">
        <f>(Assumptions!$L18/12)+(Assumptions!$L18/12)*Assumptions!$K$45</f>
        <v>916.66666666666663</v>
      </c>
      <c r="L119" s="221">
        <f>(Assumptions!$L18/12)+(Assumptions!$L18/12)*Assumptions!$K$45</f>
        <v>916.66666666666663</v>
      </c>
      <c r="M119" s="221">
        <f>(Assumptions!$L18/12)+(Assumptions!$L18/12)*Assumptions!$K$45</f>
        <v>916.66666666666663</v>
      </c>
      <c r="N119" s="221">
        <f>(Assumptions!$L18/12)+(Assumptions!$L18/12)*Assumptions!$K$45</f>
        <v>916.66666666666663</v>
      </c>
      <c r="O119" s="221">
        <f>(Assumptions!$L18/12)+(Assumptions!$L18/12)*Assumptions!$K$45</f>
        <v>916.66666666666663</v>
      </c>
      <c r="P119" s="221">
        <f>(Assumptions!$L18/12)+(Assumptions!$L18/12)*Assumptions!$K$45</f>
        <v>916.66666666666663</v>
      </c>
      <c r="Q119" s="221">
        <f>(Assumptions!$L18/12)+(Assumptions!$L18/12)*Assumptions!$K$45</f>
        <v>916.66666666666663</v>
      </c>
      <c r="R119" s="221">
        <f>(Assumptions!$L18/12)+(Assumptions!$L18/12)*Assumptions!$K$45</f>
        <v>916.66666666666663</v>
      </c>
      <c r="S119" s="221">
        <f>(Assumptions!$L18/12)+(Assumptions!$L18/12)*Assumptions!$K$45</f>
        <v>916.66666666666663</v>
      </c>
      <c r="T119" s="221">
        <f>(Assumptions!$L18/12)+(Assumptions!$L18/12)*Assumptions!$L$45</f>
        <v>4583.333333333333</v>
      </c>
      <c r="U119" s="221">
        <f>(Assumptions!$L18/12)+(Assumptions!$L18/12)*Assumptions!$L$45</f>
        <v>4583.333333333333</v>
      </c>
      <c r="V119" s="221">
        <f>(Assumptions!$L18/12)+(Assumptions!$L18/12)*Assumptions!$L$45</f>
        <v>4583.333333333333</v>
      </c>
      <c r="W119" s="221">
        <f>(Assumptions!$L18/12)+(Assumptions!$L18/12)*Assumptions!$L$45</f>
        <v>4583.333333333333</v>
      </c>
      <c r="X119" s="221">
        <f>(Assumptions!$L18/12)+(Assumptions!$L18/12)*Assumptions!$L$45</f>
        <v>4583.333333333333</v>
      </c>
      <c r="Y119" s="221">
        <f>(Assumptions!$L18/12)+(Assumptions!$L18/12)*Assumptions!$L$45</f>
        <v>4583.333333333333</v>
      </c>
      <c r="Z119" s="221">
        <f>(Assumptions!$L18/12)+(Assumptions!$L18/12)*Assumptions!$L$45</f>
        <v>4583.333333333333</v>
      </c>
      <c r="AA119" s="221">
        <f>(Assumptions!$L18/12)+(Assumptions!$L18/12)*Assumptions!$L$45</f>
        <v>4583.333333333333</v>
      </c>
      <c r="AB119" s="221">
        <f>(Assumptions!$L18/12)+(Assumptions!$L18/12)*Assumptions!$L$45</f>
        <v>4583.333333333333</v>
      </c>
      <c r="AC119" s="221">
        <f>(Assumptions!$L18/12)+(Assumptions!$L18/12)*Assumptions!$L$45</f>
        <v>4583.333333333333</v>
      </c>
      <c r="AD119" s="221">
        <f>(Assumptions!$L18/12)+(Assumptions!$L18/12)*Assumptions!$L$45</f>
        <v>4583.333333333333</v>
      </c>
      <c r="AE119" s="221">
        <f>(Assumptions!$L18/12)+(Assumptions!$L18/12)*Assumptions!$L$45</f>
        <v>4583.333333333333</v>
      </c>
      <c r="AF119" s="221">
        <f>(Assumptions!$L18/12)+(Assumptions!$L18/12)*Assumptions!$M$45</f>
        <v>9166.6666666666661</v>
      </c>
      <c r="AG119" s="221">
        <f>(Assumptions!$L18/12)+(Assumptions!$L18/12)*Assumptions!$M$45</f>
        <v>9166.6666666666661</v>
      </c>
      <c r="AH119" s="221">
        <f>(Assumptions!$L18/12)+(Assumptions!$L18/12)*Assumptions!$M$45</f>
        <v>9166.6666666666661</v>
      </c>
      <c r="AI119" s="221">
        <f>(Assumptions!$L18/12)+(Assumptions!$L18/12)*Assumptions!$M$45</f>
        <v>9166.6666666666661</v>
      </c>
      <c r="AJ119" s="221">
        <f>(Assumptions!$L18/12)+(Assumptions!$L18/12)*Assumptions!$M$45</f>
        <v>9166.6666666666661</v>
      </c>
      <c r="AK119" s="221">
        <f>(Assumptions!$L18/12)+(Assumptions!$L18/12)*Assumptions!$M$45</f>
        <v>9166.6666666666661</v>
      </c>
      <c r="AL119" s="221">
        <f>(Assumptions!$L18/12)+(Assumptions!$L18/12)*Assumptions!$M$45</f>
        <v>9166.6666666666661</v>
      </c>
      <c r="AM119" s="221">
        <f>(Assumptions!$L18/12)+(Assumptions!$L18/12)*Assumptions!$M$45</f>
        <v>9166.6666666666661</v>
      </c>
      <c r="AN119" s="221">
        <f>(Assumptions!$L18/12)+(Assumptions!$L18/12)*Assumptions!$M$45</f>
        <v>9166.6666666666661</v>
      </c>
      <c r="AO119" s="221">
        <f>(Assumptions!$L18/12)+(Assumptions!$L18/12)*Assumptions!$M$45</f>
        <v>9166.6666666666661</v>
      </c>
      <c r="AP119" s="221">
        <f>(Assumptions!$L18/12)+(Assumptions!$L18/12)*Assumptions!$M$45</f>
        <v>9166.6666666666661</v>
      </c>
      <c r="AQ119" s="221">
        <f>(Assumptions!$L18/12)+(Assumptions!$L18/12)*Assumptions!$M$45</f>
        <v>9166.6666666666661</v>
      </c>
      <c r="AR119" s="221">
        <f>(Assumptions!$L18/12)+(Assumptions!$L18/12)*Assumptions!$N$45</f>
        <v>14666.666666666666</v>
      </c>
      <c r="AS119" s="221">
        <f>(Assumptions!$L18/12)+(Assumptions!$L18/12)*Assumptions!$N$45</f>
        <v>14666.666666666666</v>
      </c>
      <c r="AT119" s="221">
        <f>(Assumptions!$L18/12)+(Assumptions!$L18/12)*Assumptions!$N$45</f>
        <v>14666.666666666666</v>
      </c>
      <c r="AU119" s="221">
        <f>(Assumptions!$L18/12)+(Assumptions!$L18/12)*Assumptions!$N$45</f>
        <v>14666.666666666666</v>
      </c>
      <c r="AV119" s="221">
        <f>(Assumptions!$L18/12)+(Assumptions!$L18/12)*Assumptions!$N$45</f>
        <v>14666.666666666666</v>
      </c>
      <c r="AW119" s="221">
        <f>(Assumptions!$L18/12)+(Assumptions!$L18/12)*Assumptions!$N$45</f>
        <v>14666.666666666666</v>
      </c>
      <c r="AX119" s="221">
        <f>(Assumptions!$L18/12)+(Assumptions!$L18/12)*Assumptions!$N$45</f>
        <v>14666.666666666666</v>
      </c>
      <c r="AY119" s="221">
        <f>(Assumptions!$L18/12)+(Assumptions!$L18/12)*Assumptions!$N$45</f>
        <v>14666.666666666666</v>
      </c>
      <c r="AZ119" s="221">
        <f>(Assumptions!$L18/12)+(Assumptions!$L18/12)*Assumptions!$N$45</f>
        <v>14666.666666666666</v>
      </c>
      <c r="BA119" s="221">
        <f>(Assumptions!$L18/12)+(Assumptions!$L18/12)*Assumptions!$N$45</f>
        <v>14666.666666666666</v>
      </c>
      <c r="BB119" s="221">
        <f>(Assumptions!$L18/12)+(Assumptions!$L18/12)*Assumptions!$N$45</f>
        <v>14666.666666666666</v>
      </c>
      <c r="BC119" s="221">
        <f>(Assumptions!$L18/12)+(Assumptions!$L18/12)*Assumptions!$N$45</f>
        <v>14666.666666666666</v>
      </c>
      <c r="BD119" s="221">
        <f>(Assumptions!$L18/12)+(Assumptions!$L18/12)*Assumptions!$O$45</f>
        <v>21083.333333333332</v>
      </c>
      <c r="BE119" s="221">
        <f>(Assumptions!$L18/12)+(Assumptions!$L18/12)*Assumptions!$O$45</f>
        <v>21083.333333333332</v>
      </c>
      <c r="BF119" s="221">
        <f>(Assumptions!$L18/12)+(Assumptions!$L18/12)*Assumptions!$O$45</f>
        <v>21083.333333333332</v>
      </c>
      <c r="BG119" s="221">
        <f>(Assumptions!$L18/12)+(Assumptions!$L18/12)*Assumptions!$O$45</f>
        <v>21083.333333333332</v>
      </c>
      <c r="BH119" s="221">
        <f>(Assumptions!$L18/12)+(Assumptions!$L18/12)*Assumptions!$O$45</f>
        <v>21083.333333333332</v>
      </c>
      <c r="BI119" s="221">
        <f>(Assumptions!$L18/12)+(Assumptions!$L18/12)*Assumptions!$O$45</f>
        <v>21083.333333333332</v>
      </c>
      <c r="BJ119" s="221">
        <f>(Assumptions!$L18/12)+(Assumptions!$L18/12)*Assumptions!$O$45</f>
        <v>21083.333333333332</v>
      </c>
      <c r="BK119" s="221">
        <f>(Assumptions!$L18/12)+(Assumptions!$L18/12)*Assumptions!$O$45</f>
        <v>21083.333333333332</v>
      </c>
      <c r="BL119" s="221">
        <f>(Assumptions!$L18/12)+(Assumptions!$L18/12)*Assumptions!$O$45</f>
        <v>21083.333333333332</v>
      </c>
      <c r="BM119" s="221">
        <f>(Assumptions!$L18/12)+(Assumptions!$L18/12)*Assumptions!$O$45</f>
        <v>21083.333333333332</v>
      </c>
      <c r="BN119" s="221">
        <f>(Assumptions!$L18/12)+(Assumptions!$L18/12)*Assumptions!$O$45</f>
        <v>21083.333333333332</v>
      </c>
      <c r="BO119" s="221">
        <f>(Assumptions!$L18/12)+(Assumptions!$L18/12)*Assumptions!$O$45</f>
        <v>21083.333333333332</v>
      </c>
    </row>
    <row r="120" spans="1:67" x14ac:dyDescent="0.25">
      <c r="A120" s="220" t="str">
        <f>Assumptions!$J$19</f>
        <v>Laravel Developer</v>
      </c>
      <c r="B120" s="202" t="b">
        <f>(H120*12)=Assumptions!L19</f>
        <v>1</v>
      </c>
      <c r="D120" s="214"/>
      <c r="E120" s="214"/>
      <c r="F120" s="214"/>
      <c r="G120" s="214"/>
      <c r="H120" s="221">
        <f>(Assumptions!$L19/12)+(Assumptions!$L19/12)*Assumptions!$K$45</f>
        <v>1008.3333333333334</v>
      </c>
      <c r="I120" s="221">
        <f>(Assumptions!$L19/12)+(Assumptions!$L19/12)*Assumptions!$K$45</f>
        <v>1008.3333333333334</v>
      </c>
      <c r="J120" s="221">
        <f>(Assumptions!$L19/12)+(Assumptions!$L19/12)*Assumptions!$K$45</f>
        <v>1008.3333333333334</v>
      </c>
      <c r="K120" s="221">
        <f>(Assumptions!$L19/12)+(Assumptions!$L19/12)*Assumptions!$K$45</f>
        <v>1008.3333333333334</v>
      </c>
      <c r="L120" s="221">
        <f>(Assumptions!$L19/12)+(Assumptions!$L19/12)*Assumptions!$K$45</f>
        <v>1008.3333333333334</v>
      </c>
      <c r="M120" s="221">
        <f>(Assumptions!$L19/12)+(Assumptions!$L19/12)*Assumptions!$K$45</f>
        <v>1008.3333333333334</v>
      </c>
      <c r="N120" s="221">
        <f>(Assumptions!$L19/12)+(Assumptions!$L19/12)*Assumptions!$K$45</f>
        <v>1008.3333333333334</v>
      </c>
      <c r="O120" s="221">
        <f>(Assumptions!$L19/12)+(Assumptions!$L19/12)*Assumptions!$K$45</f>
        <v>1008.3333333333334</v>
      </c>
      <c r="P120" s="221">
        <f>(Assumptions!$L19/12)+(Assumptions!$L19/12)*Assumptions!$K$45</f>
        <v>1008.3333333333334</v>
      </c>
      <c r="Q120" s="221">
        <f>(Assumptions!$L19/12)+(Assumptions!$L19/12)*Assumptions!$K$45</f>
        <v>1008.3333333333334</v>
      </c>
      <c r="R120" s="221">
        <f>(Assumptions!$L19/12)+(Assumptions!$L19/12)*Assumptions!$K$45</f>
        <v>1008.3333333333334</v>
      </c>
      <c r="S120" s="221">
        <f>(Assumptions!$L19/12)+(Assumptions!$L19/12)*Assumptions!$K$45</f>
        <v>1008.3333333333334</v>
      </c>
      <c r="T120" s="221">
        <f>(Assumptions!$L19/12)+(Assumptions!$L19/12)*Assumptions!$L$45</f>
        <v>5041.666666666667</v>
      </c>
      <c r="U120" s="221">
        <f>(Assumptions!$L19/12)+(Assumptions!$L19/12)*Assumptions!$L$45</f>
        <v>5041.666666666667</v>
      </c>
      <c r="V120" s="221">
        <f>(Assumptions!$L19/12)+(Assumptions!$L19/12)*Assumptions!$L$45</f>
        <v>5041.666666666667</v>
      </c>
      <c r="W120" s="221">
        <f>(Assumptions!$L19/12)+(Assumptions!$L19/12)*Assumptions!$L$45</f>
        <v>5041.666666666667</v>
      </c>
      <c r="X120" s="221">
        <f>(Assumptions!$L19/12)+(Assumptions!$L19/12)*Assumptions!$L$45</f>
        <v>5041.666666666667</v>
      </c>
      <c r="Y120" s="221">
        <f>(Assumptions!$L19/12)+(Assumptions!$L19/12)*Assumptions!$L$45</f>
        <v>5041.666666666667</v>
      </c>
      <c r="Z120" s="221">
        <f>(Assumptions!$L19/12)+(Assumptions!$L19/12)*Assumptions!$L$45</f>
        <v>5041.666666666667</v>
      </c>
      <c r="AA120" s="221">
        <f>(Assumptions!$L19/12)+(Assumptions!$L19/12)*Assumptions!$L$45</f>
        <v>5041.666666666667</v>
      </c>
      <c r="AB120" s="221">
        <f>(Assumptions!$L19/12)+(Assumptions!$L19/12)*Assumptions!$L$45</f>
        <v>5041.666666666667</v>
      </c>
      <c r="AC120" s="221">
        <f>(Assumptions!$L19/12)+(Assumptions!$L19/12)*Assumptions!$L$45</f>
        <v>5041.666666666667</v>
      </c>
      <c r="AD120" s="221">
        <f>(Assumptions!$L19/12)+(Assumptions!$L19/12)*Assumptions!$L$45</f>
        <v>5041.666666666667</v>
      </c>
      <c r="AE120" s="221">
        <f>(Assumptions!$L19/12)+(Assumptions!$L19/12)*Assumptions!$L$45</f>
        <v>5041.666666666667</v>
      </c>
      <c r="AF120" s="221">
        <f>(Assumptions!$L19/12)+(Assumptions!$L19/12)*Assumptions!$M$45</f>
        <v>10083.333333333334</v>
      </c>
      <c r="AG120" s="221">
        <f>(Assumptions!$L19/12)+(Assumptions!$L19/12)*Assumptions!$M$45</f>
        <v>10083.333333333334</v>
      </c>
      <c r="AH120" s="221">
        <f>(Assumptions!$L19/12)+(Assumptions!$L19/12)*Assumptions!$M$45</f>
        <v>10083.333333333334</v>
      </c>
      <c r="AI120" s="221">
        <f>(Assumptions!$L19/12)+(Assumptions!$L19/12)*Assumptions!$M$45</f>
        <v>10083.333333333334</v>
      </c>
      <c r="AJ120" s="221">
        <f>(Assumptions!$L19/12)+(Assumptions!$L19/12)*Assumptions!$M$45</f>
        <v>10083.333333333334</v>
      </c>
      <c r="AK120" s="221">
        <f>(Assumptions!$L19/12)+(Assumptions!$L19/12)*Assumptions!$M$45</f>
        <v>10083.333333333334</v>
      </c>
      <c r="AL120" s="221">
        <f>(Assumptions!$L19/12)+(Assumptions!$L19/12)*Assumptions!$M$45</f>
        <v>10083.333333333334</v>
      </c>
      <c r="AM120" s="221">
        <f>(Assumptions!$L19/12)+(Assumptions!$L19/12)*Assumptions!$M$45</f>
        <v>10083.333333333334</v>
      </c>
      <c r="AN120" s="221">
        <f>(Assumptions!$L19/12)+(Assumptions!$L19/12)*Assumptions!$M$45</f>
        <v>10083.333333333334</v>
      </c>
      <c r="AO120" s="221">
        <f>(Assumptions!$L19/12)+(Assumptions!$L19/12)*Assumptions!$M$45</f>
        <v>10083.333333333334</v>
      </c>
      <c r="AP120" s="221">
        <f>(Assumptions!$L19/12)+(Assumptions!$L19/12)*Assumptions!$M$45</f>
        <v>10083.333333333334</v>
      </c>
      <c r="AQ120" s="221">
        <f>(Assumptions!$L19/12)+(Assumptions!$L19/12)*Assumptions!$M$45</f>
        <v>10083.333333333334</v>
      </c>
      <c r="AR120" s="221">
        <f>(Assumptions!$L19/12)+(Assumptions!$L19/12)*Assumptions!$N$45</f>
        <v>16133.333333333334</v>
      </c>
      <c r="AS120" s="221">
        <f>(Assumptions!$L19/12)+(Assumptions!$L19/12)*Assumptions!$N$45</f>
        <v>16133.333333333334</v>
      </c>
      <c r="AT120" s="221">
        <f>(Assumptions!$L19/12)+(Assumptions!$L19/12)*Assumptions!$N$45</f>
        <v>16133.333333333334</v>
      </c>
      <c r="AU120" s="221">
        <f>(Assumptions!$L19/12)+(Assumptions!$L19/12)*Assumptions!$N$45</f>
        <v>16133.333333333334</v>
      </c>
      <c r="AV120" s="221">
        <f>(Assumptions!$L19/12)+(Assumptions!$L19/12)*Assumptions!$N$45</f>
        <v>16133.333333333334</v>
      </c>
      <c r="AW120" s="221">
        <f>(Assumptions!$L19/12)+(Assumptions!$L19/12)*Assumptions!$N$45</f>
        <v>16133.333333333334</v>
      </c>
      <c r="AX120" s="221">
        <f>(Assumptions!$L19/12)+(Assumptions!$L19/12)*Assumptions!$N$45</f>
        <v>16133.333333333334</v>
      </c>
      <c r="AY120" s="221">
        <f>(Assumptions!$L19/12)+(Assumptions!$L19/12)*Assumptions!$N$45</f>
        <v>16133.333333333334</v>
      </c>
      <c r="AZ120" s="221">
        <f>(Assumptions!$L19/12)+(Assumptions!$L19/12)*Assumptions!$N$45</f>
        <v>16133.333333333334</v>
      </c>
      <c r="BA120" s="221">
        <f>(Assumptions!$L19/12)+(Assumptions!$L19/12)*Assumptions!$N$45</f>
        <v>16133.333333333334</v>
      </c>
      <c r="BB120" s="221">
        <f>(Assumptions!$L19/12)+(Assumptions!$L19/12)*Assumptions!$N$45</f>
        <v>16133.333333333334</v>
      </c>
      <c r="BC120" s="221">
        <f>(Assumptions!$L19/12)+(Assumptions!$L19/12)*Assumptions!$N$45</f>
        <v>16133.333333333334</v>
      </c>
      <c r="BD120" s="221">
        <f>(Assumptions!$L19/12)+(Assumptions!$L19/12)*Assumptions!$O$45</f>
        <v>23191.666666666668</v>
      </c>
      <c r="BE120" s="221">
        <f>(Assumptions!$L19/12)+(Assumptions!$L19/12)*Assumptions!$O$45</f>
        <v>23191.666666666668</v>
      </c>
      <c r="BF120" s="221">
        <f>(Assumptions!$L19/12)+(Assumptions!$L19/12)*Assumptions!$O$45</f>
        <v>23191.666666666668</v>
      </c>
      <c r="BG120" s="221">
        <f>(Assumptions!$L19/12)+(Assumptions!$L19/12)*Assumptions!$O$45</f>
        <v>23191.666666666668</v>
      </c>
      <c r="BH120" s="221">
        <f>(Assumptions!$L19/12)+(Assumptions!$L19/12)*Assumptions!$O$45</f>
        <v>23191.666666666668</v>
      </c>
      <c r="BI120" s="221">
        <f>(Assumptions!$L19/12)+(Assumptions!$L19/12)*Assumptions!$O$45</f>
        <v>23191.666666666668</v>
      </c>
      <c r="BJ120" s="221">
        <f>(Assumptions!$L19/12)+(Assumptions!$L19/12)*Assumptions!$O$45</f>
        <v>23191.666666666668</v>
      </c>
      <c r="BK120" s="221">
        <f>(Assumptions!$L19/12)+(Assumptions!$L19/12)*Assumptions!$O$45</f>
        <v>23191.666666666668</v>
      </c>
      <c r="BL120" s="221">
        <f>(Assumptions!$L19/12)+(Assumptions!$L19/12)*Assumptions!$O$45</f>
        <v>23191.666666666668</v>
      </c>
      <c r="BM120" s="221">
        <f>(Assumptions!$L19/12)+(Assumptions!$L19/12)*Assumptions!$O$45</f>
        <v>23191.666666666668</v>
      </c>
      <c r="BN120" s="221">
        <f>(Assumptions!$L19/12)+(Assumptions!$L19/12)*Assumptions!$O$45</f>
        <v>23191.666666666668</v>
      </c>
      <c r="BO120" s="221">
        <f>(Assumptions!$L19/12)+(Assumptions!$L19/12)*Assumptions!$O$45</f>
        <v>23191.666666666668</v>
      </c>
    </row>
    <row r="121" spans="1:67" s="25" customFormat="1" x14ac:dyDescent="0.25">
      <c r="A121" s="25" t="s">
        <v>243</v>
      </c>
      <c r="B121" s="202">
        <f>MAX(D121:AQ121)</f>
        <v>49500</v>
      </c>
      <c r="D121" s="25">
        <f>SUM(D116:D120)</f>
        <v>0</v>
      </c>
      <c r="E121" s="25">
        <f t="shared" ref="E121:BO121" si="30">SUM(E116:E120)</f>
        <v>0</v>
      </c>
      <c r="F121" s="25">
        <f t="shared" si="30"/>
        <v>0</v>
      </c>
      <c r="G121" s="25">
        <f t="shared" si="30"/>
        <v>0</v>
      </c>
      <c r="H121" s="25">
        <f t="shared" si="30"/>
        <v>4950</v>
      </c>
      <c r="I121" s="25">
        <f t="shared" si="30"/>
        <v>4950</v>
      </c>
      <c r="J121" s="25">
        <f t="shared" si="30"/>
        <v>4950</v>
      </c>
      <c r="K121" s="25">
        <f t="shared" si="30"/>
        <v>4950</v>
      </c>
      <c r="L121" s="25">
        <f t="shared" si="30"/>
        <v>4950</v>
      </c>
      <c r="M121" s="25">
        <f t="shared" si="30"/>
        <v>4950</v>
      </c>
      <c r="N121" s="25">
        <f t="shared" si="30"/>
        <v>4950</v>
      </c>
      <c r="O121" s="25">
        <f t="shared" si="30"/>
        <v>4950</v>
      </c>
      <c r="P121" s="25">
        <f t="shared" si="30"/>
        <v>4950</v>
      </c>
      <c r="Q121" s="25">
        <f t="shared" si="30"/>
        <v>4950</v>
      </c>
      <c r="R121" s="25">
        <f t="shared" si="30"/>
        <v>4950</v>
      </c>
      <c r="S121" s="25">
        <f t="shared" si="30"/>
        <v>4950</v>
      </c>
      <c r="T121" s="25">
        <f t="shared" si="30"/>
        <v>24750</v>
      </c>
      <c r="U121" s="25">
        <f t="shared" si="30"/>
        <v>24750</v>
      </c>
      <c r="V121" s="25">
        <f t="shared" si="30"/>
        <v>24750</v>
      </c>
      <c r="W121" s="25">
        <f t="shared" si="30"/>
        <v>24750</v>
      </c>
      <c r="X121" s="25">
        <f t="shared" si="30"/>
        <v>24750</v>
      </c>
      <c r="Y121" s="25">
        <f t="shared" si="30"/>
        <v>24750</v>
      </c>
      <c r="Z121" s="25">
        <f t="shared" si="30"/>
        <v>24750</v>
      </c>
      <c r="AA121" s="25">
        <f t="shared" si="30"/>
        <v>24750</v>
      </c>
      <c r="AB121" s="25">
        <f t="shared" si="30"/>
        <v>24750</v>
      </c>
      <c r="AC121" s="25">
        <f t="shared" si="30"/>
        <v>24750</v>
      </c>
      <c r="AD121" s="25">
        <f t="shared" si="30"/>
        <v>24750</v>
      </c>
      <c r="AE121" s="25">
        <f t="shared" si="30"/>
        <v>24750</v>
      </c>
      <c r="AF121" s="25">
        <f t="shared" si="30"/>
        <v>49500</v>
      </c>
      <c r="AG121" s="25">
        <f t="shared" si="30"/>
        <v>49500</v>
      </c>
      <c r="AH121" s="25">
        <f t="shared" si="30"/>
        <v>49500</v>
      </c>
      <c r="AI121" s="25">
        <f t="shared" si="30"/>
        <v>49500</v>
      </c>
      <c r="AJ121" s="25">
        <f t="shared" si="30"/>
        <v>49500</v>
      </c>
      <c r="AK121" s="25">
        <f t="shared" si="30"/>
        <v>49500</v>
      </c>
      <c r="AL121" s="25">
        <f t="shared" si="30"/>
        <v>49500</v>
      </c>
      <c r="AM121" s="25">
        <f t="shared" si="30"/>
        <v>49500</v>
      </c>
      <c r="AN121" s="25">
        <f t="shared" si="30"/>
        <v>49500</v>
      </c>
      <c r="AO121" s="25">
        <f t="shared" si="30"/>
        <v>49500</v>
      </c>
      <c r="AP121" s="25">
        <f t="shared" si="30"/>
        <v>49500</v>
      </c>
      <c r="AQ121" s="25">
        <f t="shared" si="30"/>
        <v>49500</v>
      </c>
      <c r="AR121" s="25">
        <f t="shared" si="30"/>
        <v>79200</v>
      </c>
      <c r="AS121" s="25">
        <f t="shared" si="30"/>
        <v>79200</v>
      </c>
      <c r="AT121" s="25">
        <f t="shared" si="30"/>
        <v>79200</v>
      </c>
      <c r="AU121" s="25">
        <f t="shared" si="30"/>
        <v>79200</v>
      </c>
      <c r="AV121" s="25">
        <f t="shared" si="30"/>
        <v>79200</v>
      </c>
      <c r="AW121" s="25">
        <f t="shared" si="30"/>
        <v>79200</v>
      </c>
      <c r="AX121" s="25">
        <f t="shared" si="30"/>
        <v>79200</v>
      </c>
      <c r="AY121" s="25">
        <f t="shared" si="30"/>
        <v>79200</v>
      </c>
      <c r="AZ121" s="25">
        <f t="shared" si="30"/>
        <v>79200</v>
      </c>
      <c r="BA121" s="25">
        <f t="shared" si="30"/>
        <v>79200</v>
      </c>
      <c r="BB121" s="25">
        <f t="shared" si="30"/>
        <v>79200</v>
      </c>
      <c r="BC121" s="25">
        <f t="shared" si="30"/>
        <v>79200</v>
      </c>
      <c r="BD121" s="25">
        <f t="shared" si="30"/>
        <v>113850</v>
      </c>
      <c r="BE121" s="25">
        <f t="shared" si="30"/>
        <v>113850</v>
      </c>
      <c r="BF121" s="25">
        <f t="shared" si="30"/>
        <v>113850</v>
      </c>
      <c r="BG121" s="25">
        <f t="shared" si="30"/>
        <v>113850</v>
      </c>
      <c r="BH121" s="25">
        <f t="shared" si="30"/>
        <v>113850</v>
      </c>
      <c r="BI121" s="25">
        <f t="shared" si="30"/>
        <v>113850</v>
      </c>
      <c r="BJ121" s="25">
        <f t="shared" si="30"/>
        <v>113850</v>
      </c>
      <c r="BK121" s="25">
        <f t="shared" si="30"/>
        <v>113850</v>
      </c>
      <c r="BL121" s="25">
        <f t="shared" si="30"/>
        <v>113850</v>
      </c>
      <c r="BM121" s="25">
        <f t="shared" si="30"/>
        <v>113850</v>
      </c>
      <c r="BN121" s="25">
        <f t="shared" si="30"/>
        <v>113850</v>
      </c>
      <c r="BO121" s="25">
        <f t="shared" si="30"/>
        <v>113850</v>
      </c>
    </row>
    <row r="122" spans="1:67" x14ac:dyDescent="0.25">
      <c r="A122" s="213"/>
      <c r="B122" s="202"/>
    </row>
    <row r="123" spans="1:67" s="25" customFormat="1" x14ac:dyDescent="0.25">
      <c r="A123" s="25" t="s">
        <v>248</v>
      </c>
      <c r="B123" s="202">
        <f>SUM(D123:AQ123)</f>
        <v>2611083.75</v>
      </c>
      <c r="D123" s="25">
        <f>SUM(D106,D114,D121)</f>
        <v>0</v>
      </c>
      <c r="E123" s="25">
        <f t="shared" ref="E123:BO123" si="31">SUM(E106,E114,E121)</f>
        <v>0</v>
      </c>
      <c r="F123" s="25">
        <f t="shared" si="31"/>
        <v>0</v>
      </c>
      <c r="G123" s="25">
        <f t="shared" si="31"/>
        <v>0</v>
      </c>
      <c r="H123" s="25">
        <f t="shared" si="31"/>
        <v>13933.333333333332</v>
      </c>
      <c r="I123" s="25">
        <f t="shared" si="31"/>
        <v>14850</v>
      </c>
      <c r="J123" s="25">
        <f t="shared" si="31"/>
        <v>15766.666666666666</v>
      </c>
      <c r="K123" s="25">
        <f t="shared" si="31"/>
        <v>17416.666666666664</v>
      </c>
      <c r="L123" s="25">
        <f t="shared" si="31"/>
        <v>18333.333333333332</v>
      </c>
      <c r="M123" s="25">
        <f t="shared" si="31"/>
        <v>19250</v>
      </c>
      <c r="N123" s="25">
        <f t="shared" si="31"/>
        <v>20166.666666666664</v>
      </c>
      <c r="O123" s="25">
        <f t="shared" si="31"/>
        <v>21083.333333333336</v>
      </c>
      <c r="P123" s="25">
        <f t="shared" si="31"/>
        <v>23420.833333333332</v>
      </c>
      <c r="Q123" s="25">
        <f t="shared" si="31"/>
        <v>24337.5</v>
      </c>
      <c r="R123" s="25">
        <f t="shared" si="31"/>
        <v>25254.166666666664</v>
      </c>
      <c r="S123" s="25">
        <f t="shared" si="31"/>
        <v>26170.833333333332</v>
      </c>
      <c r="T123" s="25">
        <f t="shared" si="31"/>
        <v>58609.375</v>
      </c>
      <c r="U123" s="25">
        <f t="shared" si="31"/>
        <v>60671.875</v>
      </c>
      <c r="V123" s="25">
        <f t="shared" si="31"/>
        <v>61817.708333333328</v>
      </c>
      <c r="W123" s="25">
        <f t="shared" si="31"/>
        <v>62963.541666666664</v>
      </c>
      <c r="X123" s="25">
        <f t="shared" si="31"/>
        <v>64109.375</v>
      </c>
      <c r="Y123" s="25">
        <f t="shared" si="31"/>
        <v>65255.208333333328</v>
      </c>
      <c r="Z123" s="25">
        <f t="shared" si="31"/>
        <v>68177.083333333328</v>
      </c>
      <c r="AA123" s="25">
        <f t="shared" si="31"/>
        <v>69322.916666666672</v>
      </c>
      <c r="AB123" s="25">
        <f t="shared" si="31"/>
        <v>70468.75</v>
      </c>
      <c r="AC123" s="25">
        <f t="shared" si="31"/>
        <v>71614.583333333328</v>
      </c>
      <c r="AD123" s="25">
        <f t="shared" si="31"/>
        <v>72760.416666666657</v>
      </c>
      <c r="AE123" s="25">
        <f t="shared" si="31"/>
        <v>74822.916666666657</v>
      </c>
      <c r="AF123" s="25">
        <f t="shared" si="31"/>
        <v>121000</v>
      </c>
      <c r="AG123" s="25">
        <f t="shared" si="31"/>
        <v>122466.66666666666</v>
      </c>
      <c r="AH123" s="25">
        <f t="shared" si="31"/>
        <v>123933.33333333333</v>
      </c>
      <c r="AI123" s="25">
        <f t="shared" si="31"/>
        <v>125400</v>
      </c>
      <c r="AJ123" s="25">
        <f t="shared" si="31"/>
        <v>129140</v>
      </c>
      <c r="AK123" s="25">
        <f t="shared" si="31"/>
        <v>130606.66666666666</v>
      </c>
      <c r="AL123" s="25">
        <f t="shared" si="31"/>
        <v>132073.33333333331</v>
      </c>
      <c r="AM123" s="25">
        <f t="shared" si="31"/>
        <v>133540</v>
      </c>
      <c r="AN123" s="25">
        <f t="shared" si="31"/>
        <v>135006.66666666666</v>
      </c>
      <c r="AO123" s="25">
        <f t="shared" si="31"/>
        <v>137646.66666666666</v>
      </c>
      <c r="AP123" s="25">
        <f t="shared" si="31"/>
        <v>139113.33333333334</v>
      </c>
      <c r="AQ123" s="25">
        <f t="shared" si="31"/>
        <v>140580</v>
      </c>
      <c r="AR123" s="25">
        <f t="shared" si="31"/>
        <v>214917.08333333331</v>
      </c>
      <c r="AS123" s="25">
        <f t="shared" si="31"/>
        <v>217025.41666666669</v>
      </c>
      <c r="AT123" s="25">
        <f t="shared" si="31"/>
        <v>222401.66666666666</v>
      </c>
      <c r="AU123" s="25">
        <f t="shared" si="31"/>
        <v>224510</v>
      </c>
      <c r="AV123" s="25">
        <f t="shared" si="31"/>
        <v>226618.33333333331</v>
      </c>
      <c r="AW123" s="25">
        <f t="shared" si="31"/>
        <v>228726.66666666666</v>
      </c>
      <c r="AX123" s="25">
        <f t="shared" si="31"/>
        <v>230835</v>
      </c>
      <c r="AY123" s="25">
        <f t="shared" si="31"/>
        <v>234630</v>
      </c>
      <c r="AZ123" s="25">
        <f t="shared" si="31"/>
        <v>236738.33333333331</v>
      </c>
      <c r="BA123" s="25">
        <f t="shared" si="31"/>
        <v>238846.66666666666</v>
      </c>
      <c r="BB123" s="25">
        <f t="shared" si="31"/>
        <v>240955</v>
      </c>
      <c r="BC123" s="25">
        <f t="shared" si="31"/>
        <v>243063.33333333331</v>
      </c>
      <c r="BD123" s="25">
        <f t="shared" si="31"/>
        <v>338112.5</v>
      </c>
      <c r="BE123" s="25">
        <f t="shared" si="31"/>
        <v>340862.5</v>
      </c>
      <c r="BF123" s="25">
        <f t="shared" si="31"/>
        <v>343612.5</v>
      </c>
      <c r="BG123" s="25">
        <f t="shared" si="31"/>
        <v>346362.5</v>
      </c>
      <c r="BH123" s="25">
        <f t="shared" si="31"/>
        <v>349112.5</v>
      </c>
      <c r="BI123" s="25">
        <f t="shared" si="31"/>
        <v>354062.5</v>
      </c>
      <c r="BJ123" s="25">
        <f t="shared" si="31"/>
        <v>356812.5</v>
      </c>
      <c r="BK123" s="25">
        <f t="shared" si="31"/>
        <v>359562.5</v>
      </c>
      <c r="BL123" s="25">
        <f t="shared" si="31"/>
        <v>362312.5</v>
      </c>
      <c r="BM123" s="25">
        <f t="shared" si="31"/>
        <v>365062.5</v>
      </c>
      <c r="BN123" s="25">
        <f t="shared" si="31"/>
        <v>372075</v>
      </c>
      <c r="BO123" s="25">
        <f t="shared" si="31"/>
        <v>374825</v>
      </c>
    </row>
    <row r="124" spans="1:67" s="224" customFormat="1" x14ac:dyDescent="0.25">
      <c r="A124" s="224" t="s">
        <v>249</v>
      </c>
      <c r="B124" s="225">
        <f t="shared" ref="B124" si="32">MAX(D124:AQ124)</f>
        <v>2611083.75</v>
      </c>
      <c r="C124" s="183"/>
      <c r="D124" s="224">
        <f>D123</f>
        <v>0</v>
      </c>
      <c r="E124" s="224">
        <f>E123+D124</f>
        <v>0</v>
      </c>
      <c r="F124" s="224">
        <f t="shared" ref="F124:BO124" si="33">F123+E124</f>
        <v>0</v>
      </c>
      <c r="G124" s="224">
        <f t="shared" si="33"/>
        <v>0</v>
      </c>
      <c r="H124" s="224">
        <f t="shared" si="33"/>
        <v>13933.333333333332</v>
      </c>
      <c r="I124" s="224">
        <f t="shared" si="33"/>
        <v>28783.333333333332</v>
      </c>
      <c r="J124" s="224">
        <f t="shared" si="33"/>
        <v>44550</v>
      </c>
      <c r="K124" s="224">
        <f t="shared" si="33"/>
        <v>61966.666666666664</v>
      </c>
      <c r="L124" s="224">
        <f t="shared" si="33"/>
        <v>80300</v>
      </c>
      <c r="M124" s="224">
        <f t="shared" si="33"/>
        <v>99550</v>
      </c>
      <c r="N124" s="224">
        <f t="shared" si="33"/>
        <v>119716.66666666666</v>
      </c>
      <c r="O124" s="224">
        <f t="shared" si="33"/>
        <v>140800</v>
      </c>
      <c r="P124" s="224">
        <f t="shared" si="33"/>
        <v>164220.83333333334</v>
      </c>
      <c r="Q124" s="224">
        <f t="shared" si="33"/>
        <v>188558.33333333334</v>
      </c>
      <c r="R124" s="224">
        <f t="shared" si="33"/>
        <v>213812.5</v>
      </c>
      <c r="S124" s="224">
        <f t="shared" si="33"/>
        <v>239983.33333333334</v>
      </c>
      <c r="T124" s="224">
        <f t="shared" si="33"/>
        <v>298592.70833333337</v>
      </c>
      <c r="U124" s="224">
        <f t="shared" si="33"/>
        <v>359264.58333333337</v>
      </c>
      <c r="V124" s="224">
        <f t="shared" si="33"/>
        <v>421082.29166666669</v>
      </c>
      <c r="W124" s="224">
        <f t="shared" si="33"/>
        <v>484045.83333333337</v>
      </c>
      <c r="X124" s="224">
        <f t="shared" si="33"/>
        <v>548155.20833333337</v>
      </c>
      <c r="Y124" s="224">
        <f t="shared" si="33"/>
        <v>613410.41666666674</v>
      </c>
      <c r="Z124" s="224">
        <f t="shared" si="33"/>
        <v>681587.50000000012</v>
      </c>
      <c r="AA124" s="224">
        <f t="shared" si="33"/>
        <v>750910.41666666674</v>
      </c>
      <c r="AB124" s="224">
        <f t="shared" si="33"/>
        <v>821379.16666666674</v>
      </c>
      <c r="AC124" s="224">
        <f t="shared" si="33"/>
        <v>892993.75000000012</v>
      </c>
      <c r="AD124" s="224">
        <f t="shared" si="33"/>
        <v>965754.16666666674</v>
      </c>
      <c r="AE124" s="224">
        <f t="shared" si="33"/>
        <v>1040577.0833333334</v>
      </c>
      <c r="AF124" s="224">
        <f t="shared" si="33"/>
        <v>1161577.0833333335</v>
      </c>
      <c r="AG124" s="224">
        <f t="shared" si="33"/>
        <v>1284043.7500000002</v>
      </c>
      <c r="AH124" s="224">
        <f t="shared" si="33"/>
        <v>1407977.0833333335</v>
      </c>
      <c r="AI124" s="224">
        <f t="shared" si="33"/>
        <v>1533377.0833333335</v>
      </c>
      <c r="AJ124" s="224">
        <f t="shared" si="33"/>
        <v>1662517.0833333335</v>
      </c>
      <c r="AK124" s="224">
        <f t="shared" si="33"/>
        <v>1793123.7500000002</v>
      </c>
      <c r="AL124" s="224">
        <f t="shared" si="33"/>
        <v>1925197.0833333335</v>
      </c>
      <c r="AM124" s="224">
        <f t="shared" si="33"/>
        <v>2058737.0833333335</v>
      </c>
      <c r="AN124" s="224">
        <f t="shared" si="33"/>
        <v>2193743.75</v>
      </c>
      <c r="AO124" s="224">
        <f t="shared" si="33"/>
        <v>2331390.4166666665</v>
      </c>
      <c r="AP124" s="224">
        <f t="shared" si="33"/>
        <v>2470503.75</v>
      </c>
      <c r="AQ124" s="224">
        <f t="shared" si="33"/>
        <v>2611083.75</v>
      </c>
      <c r="AR124" s="224">
        <f t="shared" si="33"/>
        <v>2826000.8333333335</v>
      </c>
      <c r="AS124" s="224">
        <f t="shared" si="33"/>
        <v>3043026.25</v>
      </c>
      <c r="AT124" s="224">
        <f t="shared" si="33"/>
        <v>3265427.9166666665</v>
      </c>
      <c r="AU124" s="224">
        <f t="shared" si="33"/>
        <v>3489937.9166666665</v>
      </c>
      <c r="AV124" s="224">
        <f t="shared" si="33"/>
        <v>3716556.25</v>
      </c>
      <c r="AW124" s="224">
        <f t="shared" si="33"/>
        <v>3945282.9166666665</v>
      </c>
      <c r="AX124" s="224">
        <f t="shared" si="33"/>
        <v>4176117.9166666665</v>
      </c>
      <c r="AY124" s="224">
        <f t="shared" si="33"/>
        <v>4410747.916666666</v>
      </c>
      <c r="AZ124" s="224">
        <f t="shared" si="33"/>
        <v>4647486.2499999991</v>
      </c>
      <c r="BA124" s="224">
        <f t="shared" si="33"/>
        <v>4886332.916666666</v>
      </c>
      <c r="BB124" s="224">
        <f t="shared" si="33"/>
        <v>5127287.916666666</v>
      </c>
      <c r="BC124" s="224">
        <f t="shared" si="33"/>
        <v>5370351.2499999991</v>
      </c>
      <c r="BD124" s="224">
        <f t="shared" si="33"/>
        <v>5708463.7499999991</v>
      </c>
      <c r="BE124" s="224">
        <f t="shared" si="33"/>
        <v>6049326.2499999991</v>
      </c>
      <c r="BF124" s="224">
        <f t="shared" si="33"/>
        <v>6392938.7499999991</v>
      </c>
      <c r="BG124" s="224">
        <f t="shared" si="33"/>
        <v>6739301.2499999991</v>
      </c>
      <c r="BH124" s="224">
        <f t="shared" si="33"/>
        <v>7088413.7499999991</v>
      </c>
      <c r="BI124" s="224">
        <f t="shared" si="33"/>
        <v>7442476.2499999991</v>
      </c>
      <c r="BJ124" s="224">
        <f t="shared" si="33"/>
        <v>7799288.7499999991</v>
      </c>
      <c r="BK124" s="224">
        <f t="shared" si="33"/>
        <v>8158851.2499999991</v>
      </c>
      <c r="BL124" s="224">
        <f t="shared" si="33"/>
        <v>8521163.75</v>
      </c>
      <c r="BM124" s="224">
        <f t="shared" si="33"/>
        <v>8886226.25</v>
      </c>
      <c r="BN124" s="224">
        <f t="shared" si="33"/>
        <v>9258301.25</v>
      </c>
      <c r="BO124" s="224">
        <f t="shared" si="33"/>
        <v>9633126.25</v>
      </c>
    </row>
    <row r="125" spans="1:67" s="162" customFormat="1" x14ac:dyDescent="0.25">
      <c r="A125" s="159" t="s">
        <v>250</v>
      </c>
      <c r="B125" s="202"/>
      <c r="C125" s="161"/>
      <c r="D125" s="161"/>
      <c r="E125" s="161"/>
      <c r="F125" s="161"/>
      <c r="G125" s="161"/>
    </row>
    <row r="126" spans="1:67" x14ac:dyDescent="0.25">
      <c r="A126" s="197"/>
      <c r="B126" s="202"/>
    </row>
    <row r="127" spans="1:67" x14ac:dyDescent="0.25">
      <c r="A127" s="197" t="s">
        <v>153</v>
      </c>
      <c r="B127" s="202"/>
    </row>
    <row r="128" spans="1:67" x14ac:dyDescent="0.25">
      <c r="A128" s="213" t="str">
        <f>Assumptions!$J$3</f>
        <v>Head of Sales</v>
      </c>
      <c r="B128" s="202"/>
      <c r="D128" s="214"/>
      <c r="E128" s="214"/>
      <c r="F128" s="214"/>
      <c r="G128" s="214"/>
      <c r="H128" s="51">
        <f>(Assumptions!$M3/12)+(Assumptions!$M3/12)*Assumptions!$K$48</f>
        <v>416.66666666666669</v>
      </c>
      <c r="I128" s="51">
        <f>(Assumptions!$M3/12)+(Assumptions!$M3/12)*Assumptions!$K$48</f>
        <v>416.66666666666669</v>
      </c>
      <c r="J128" s="51">
        <f>(Assumptions!$M3/12)+(Assumptions!$M3/12)*Assumptions!$K$48</f>
        <v>416.66666666666669</v>
      </c>
      <c r="K128" s="51">
        <f>(Assumptions!$M3/12)+(Assumptions!$M3/12)*Assumptions!$K$48</f>
        <v>416.66666666666669</v>
      </c>
      <c r="L128" s="51">
        <f>(Assumptions!$M3/12)+(Assumptions!$M3/12)*Assumptions!$K$48</f>
        <v>416.66666666666669</v>
      </c>
      <c r="M128" s="51">
        <f>(Assumptions!$M3/12)+(Assumptions!$M3/12)*Assumptions!$K$48</f>
        <v>416.66666666666669</v>
      </c>
      <c r="N128" s="51">
        <f>(Assumptions!$M3/12)+(Assumptions!$M3/12)*Assumptions!$K$48</f>
        <v>416.66666666666669</v>
      </c>
      <c r="O128" s="51">
        <f>(Assumptions!$M3/12)+(Assumptions!$M3/12)*Assumptions!$K$48</f>
        <v>416.66666666666669</v>
      </c>
      <c r="P128" s="51">
        <f>(Assumptions!$M3/12)+(Assumptions!$M3/12)*Assumptions!$K$48</f>
        <v>416.66666666666669</v>
      </c>
      <c r="Q128" s="51">
        <f>(Assumptions!$M3/12)+(Assumptions!$M3/12)*Assumptions!$K$48</f>
        <v>416.66666666666669</v>
      </c>
      <c r="R128" s="51">
        <f>(Assumptions!$M3/12)+(Assumptions!$M3/12)*Assumptions!$K$48</f>
        <v>416.66666666666669</v>
      </c>
      <c r="S128" s="51">
        <f>(Assumptions!$M3/12)+(Assumptions!$M3/12)*Assumptions!$K$48</f>
        <v>416.66666666666669</v>
      </c>
      <c r="T128" s="51">
        <f>(Assumptions!$M3/12)+(Assumptions!$M3/12)*Assumptions!$L$48</f>
        <v>520.83333333333337</v>
      </c>
      <c r="U128" s="51">
        <f>(Assumptions!$M3/12)+(Assumptions!$M3/12)*Assumptions!$L$48</f>
        <v>520.83333333333337</v>
      </c>
      <c r="V128" s="51">
        <f>(Assumptions!$M3/12)+(Assumptions!$M3/12)*Assumptions!$L$48</f>
        <v>520.83333333333337</v>
      </c>
      <c r="W128" s="51">
        <f>(Assumptions!$M3/12)+(Assumptions!$M3/12)*Assumptions!$L$48</f>
        <v>520.83333333333337</v>
      </c>
      <c r="X128" s="51">
        <f>(Assumptions!$M3/12)+(Assumptions!$M3/12)*Assumptions!$L$48</f>
        <v>520.83333333333337</v>
      </c>
      <c r="Y128" s="51">
        <f>(Assumptions!$M3/12)+(Assumptions!$M3/12)*Assumptions!$L$48</f>
        <v>520.83333333333337</v>
      </c>
      <c r="Z128" s="51">
        <f>(Assumptions!$M3/12)+(Assumptions!$M3/12)*Assumptions!$L$48</f>
        <v>520.83333333333337</v>
      </c>
      <c r="AA128" s="51">
        <f>(Assumptions!$M3/12)+(Assumptions!$M3/12)*Assumptions!$L$48</f>
        <v>520.83333333333337</v>
      </c>
      <c r="AB128" s="51">
        <f>(Assumptions!$M3/12)+(Assumptions!$M3/12)*Assumptions!$L$48</f>
        <v>520.83333333333337</v>
      </c>
      <c r="AC128" s="51">
        <f>(Assumptions!$M3/12)+(Assumptions!$M3/12)*Assumptions!$L$48</f>
        <v>520.83333333333337</v>
      </c>
      <c r="AD128" s="51">
        <f>(Assumptions!$M3/12)+(Assumptions!$M3/12)*Assumptions!$L$48</f>
        <v>520.83333333333337</v>
      </c>
      <c r="AE128" s="51">
        <f>(Assumptions!$M3/12)+(Assumptions!$M3/12)*Assumptions!$L$48</f>
        <v>520.83333333333337</v>
      </c>
      <c r="AF128" s="51">
        <f>(Assumptions!$M3/12)+(Assumptions!$M3/12)*Assumptions!$M$48</f>
        <v>666.66666666666674</v>
      </c>
      <c r="AG128" s="51">
        <f>(Assumptions!$M3/12)+(Assumptions!$M3/12)*Assumptions!$M$48</f>
        <v>666.66666666666674</v>
      </c>
      <c r="AH128" s="51">
        <f>(Assumptions!$M3/12)+(Assumptions!$M3/12)*Assumptions!$M$48</f>
        <v>666.66666666666674</v>
      </c>
      <c r="AI128" s="51">
        <f>(Assumptions!$M3/12)+(Assumptions!$M3/12)*Assumptions!$M$48</f>
        <v>666.66666666666674</v>
      </c>
      <c r="AJ128" s="51">
        <f>(Assumptions!$M3/12)+(Assumptions!$M3/12)*Assumptions!$M$48</f>
        <v>666.66666666666674</v>
      </c>
      <c r="AK128" s="51">
        <f>(Assumptions!$M3/12)+(Assumptions!$M3/12)*Assumptions!$M$48</f>
        <v>666.66666666666674</v>
      </c>
      <c r="AL128" s="51">
        <f>(Assumptions!$M3/12)+(Assumptions!$M3/12)*Assumptions!$M$48</f>
        <v>666.66666666666674</v>
      </c>
      <c r="AM128" s="51">
        <f>(Assumptions!$M3/12)+(Assumptions!$M3/12)*Assumptions!$M$48</f>
        <v>666.66666666666674</v>
      </c>
      <c r="AN128" s="51">
        <f>(Assumptions!$M3/12)+(Assumptions!$M3/12)*Assumptions!$M$48</f>
        <v>666.66666666666674</v>
      </c>
      <c r="AO128" s="51">
        <f>(Assumptions!$M3/12)+(Assumptions!$M3/12)*Assumptions!$M$48</f>
        <v>666.66666666666674</v>
      </c>
      <c r="AP128" s="51">
        <f>(Assumptions!$M3/12)+(Assumptions!$M3/12)*Assumptions!$M$48</f>
        <v>666.66666666666674</v>
      </c>
      <c r="AQ128" s="51">
        <f>(Assumptions!$M3/12)+(Assumptions!$M3/12)*Assumptions!$M$48</f>
        <v>666.66666666666674</v>
      </c>
      <c r="AR128" s="51">
        <f>(Assumptions!$M3/12)+(Assumptions!$M3/12)*Assumptions!$N$48</f>
        <v>958.33333333333348</v>
      </c>
      <c r="AS128" s="51">
        <f>(Assumptions!$M3/12)+(Assumptions!$M3/12)*Assumptions!$N$48</f>
        <v>958.33333333333348</v>
      </c>
      <c r="AT128" s="51">
        <f>(Assumptions!$M3/12)+(Assumptions!$M3/12)*Assumptions!$N$48</f>
        <v>958.33333333333348</v>
      </c>
      <c r="AU128" s="51">
        <f>(Assumptions!$M3/12)+(Assumptions!$M3/12)*Assumptions!$N$48</f>
        <v>958.33333333333348</v>
      </c>
      <c r="AV128" s="51">
        <f>(Assumptions!$M3/12)+(Assumptions!$M3/12)*Assumptions!$N$48</f>
        <v>958.33333333333348</v>
      </c>
      <c r="AW128" s="51">
        <f>(Assumptions!$M3/12)+(Assumptions!$M3/12)*Assumptions!$N$48</f>
        <v>958.33333333333348</v>
      </c>
      <c r="AX128" s="51">
        <f>(Assumptions!$M3/12)+(Assumptions!$M3/12)*Assumptions!$N$48</f>
        <v>958.33333333333348</v>
      </c>
      <c r="AY128" s="51">
        <f>(Assumptions!$M3/12)+(Assumptions!$M3/12)*Assumptions!$N$48</f>
        <v>958.33333333333348</v>
      </c>
      <c r="AZ128" s="51">
        <f>(Assumptions!$M3/12)+(Assumptions!$M3/12)*Assumptions!$N$48</f>
        <v>958.33333333333348</v>
      </c>
      <c r="BA128" s="51">
        <f>(Assumptions!$M3/12)+(Assumptions!$M3/12)*Assumptions!$N$48</f>
        <v>958.33333333333348</v>
      </c>
      <c r="BB128" s="51">
        <f>(Assumptions!$M3/12)+(Assumptions!$M3/12)*Assumptions!$N$48</f>
        <v>958.33333333333348</v>
      </c>
      <c r="BC128" s="51">
        <f>(Assumptions!$M3/12)+(Assumptions!$M3/12)*Assumptions!$N$48</f>
        <v>958.33333333333348</v>
      </c>
      <c r="BD128" s="51">
        <f>(Assumptions!$M3/12)+(Assumptions!$M3/12)*Assumptions!$O$48</f>
        <v>1250</v>
      </c>
      <c r="BE128" s="51">
        <f>(Assumptions!$M3/12)+(Assumptions!$M3/12)*Assumptions!$O$48</f>
        <v>1250</v>
      </c>
      <c r="BF128" s="51">
        <f>(Assumptions!$M3/12)+(Assumptions!$M3/12)*Assumptions!$O$48</f>
        <v>1250</v>
      </c>
      <c r="BG128" s="51">
        <f>(Assumptions!$M3/12)+(Assumptions!$M3/12)*Assumptions!$O$48</f>
        <v>1250</v>
      </c>
      <c r="BH128" s="51">
        <f>(Assumptions!$M3/12)+(Assumptions!$M3/12)*Assumptions!$O$48</f>
        <v>1250</v>
      </c>
      <c r="BI128" s="51">
        <f>(Assumptions!$M3/12)+(Assumptions!$M3/12)*Assumptions!$O$48</f>
        <v>1250</v>
      </c>
      <c r="BJ128" s="51">
        <f>(Assumptions!$M3/12)+(Assumptions!$M3/12)*Assumptions!$O$48</f>
        <v>1250</v>
      </c>
      <c r="BK128" s="51">
        <f>(Assumptions!$M3/12)+(Assumptions!$M3/12)*Assumptions!$O$48</f>
        <v>1250</v>
      </c>
      <c r="BL128" s="51">
        <f>(Assumptions!$M3/12)+(Assumptions!$M3/12)*Assumptions!$O$48</f>
        <v>1250</v>
      </c>
      <c r="BM128" s="51">
        <f>(Assumptions!$M3/12)+(Assumptions!$M3/12)*Assumptions!$O$48</f>
        <v>1250</v>
      </c>
      <c r="BN128" s="51">
        <f>(Assumptions!$M3/12)+(Assumptions!$M3/12)*Assumptions!$O$48</f>
        <v>1250</v>
      </c>
      <c r="BO128" s="51">
        <f>(Assumptions!$M3/12)+(Assumptions!$M3/12)*Assumptions!$O$48</f>
        <v>1250</v>
      </c>
    </row>
    <row r="129" spans="1:67" s="217" customFormat="1" x14ac:dyDescent="0.25">
      <c r="A129" s="215" t="str">
        <f>Assumptions!$J$4</f>
        <v>Sales Person</v>
      </c>
      <c r="B129" s="216"/>
      <c r="D129" s="218"/>
      <c r="E129" s="218"/>
      <c r="F129" s="218"/>
      <c r="G129" s="218"/>
      <c r="H129" s="219">
        <f>((Assumptions!$M4/12)*H$10)+((Assumptions!$M4/12)*H$10)*Assumptions!$K$48</f>
        <v>833.33333333333337</v>
      </c>
      <c r="I129" s="219">
        <f>((Assumptions!$M4/12)*I$10)+((Assumptions!$M4/12)*I$10)*Assumptions!$K$48</f>
        <v>1250</v>
      </c>
      <c r="J129" s="219">
        <f>((Assumptions!$M4/12)*J$10)+((Assumptions!$M4/12)*J$10)*Assumptions!$K$48</f>
        <v>1666.6666666666667</v>
      </c>
      <c r="K129" s="219">
        <f>((Assumptions!$M4/12)*K$10)+((Assumptions!$M4/12)*K$10)*Assumptions!$K$48</f>
        <v>2083.3333333333335</v>
      </c>
      <c r="L129" s="219">
        <f>((Assumptions!$M4/12)*L$10)+((Assumptions!$M4/12)*L$10)*Assumptions!$K$48</f>
        <v>2500</v>
      </c>
      <c r="M129" s="219">
        <f>((Assumptions!$M4/12)*M$10)+((Assumptions!$M4/12)*M$10)*Assumptions!$K$48</f>
        <v>2916.666666666667</v>
      </c>
      <c r="N129" s="219">
        <f>((Assumptions!$M4/12)*N$10)+((Assumptions!$M4/12)*N$10)*Assumptions!$K$48</f>
        <v>3333.3333333333335</v>
      </c>
      <c r="O129" s="219">
        <f>((Assumptions!$M4/12)*O$10)+((Assumptions!$M4/12)*O$10)*Assumptions!$K$48</f>
        <v>3750</v>
      </c>
      <c r="P129" s="219">
        <f>((Assumptions!$M4/12)*P$10)+((Assumptions!$M4/12)*P$10)*Assumptions!$K$48</f>
        <v>4166.666666666667</v>
      </c>
      <c r="Q129" s="219">
        <f>((Assumptions!$M4/12)*Q$10)+((Assumptions!$M4/12)*Q$10)*Assumptions!$K$48</f>
        <v>4583.3333333333339</v>
      </c>
      <c r="R129" s="219">
        <f>((Assumptions!$M4/12)*R$10)+((Assumptions!$M4/12)*R$10)*Assumptions!$K$48</f>
        <v>5000</v>
      </c>
      <c r="S129" s="219">
        <f>((Assumptions!$M4/12)*S$10)+((Assumptions!$M4/12)*S$10)*Assumptions!$K$48</f>
        <v>5416.666666666667</v>
      </c>
      <c r="T129" s="219">
        <f>((Assumptions!$M4/12)*T$10)+((Assumptions!$M4/12)*T$10)*Assumptions!$L$48</f>
        <v>7291.6666666666679</v>
      </c>
      <c r="U129" s="219">
        <f>((Assumptions!$M4/12)*U$10)+((Assumptions!$M4/12)*U$10)*Assumptions!$L$48</f>
        <v>7812.5</v>
      </c>
      <c r="V129" s="219">
        <f>((Assumptions!$M4/12)*V$10)+((Assumptions!$M4/12)*V$10)*Assumptions!$L$48</f>
        <v>8333.3333333333339</v>
      </c>
      <c r="W129" s="219">
        <f>((Assumptions!$M4/12)*W$10)+((Assumptions!$M4/12)*W$10)*Assumptions!$L$48</f>
        <v>8854.1666666666679</v>
      </c>
      <c r="X129" s="219">
        <f>((Assumptions!$M4/12)*X$10)+((Assumptions!$M4/12)*X$10)*Assumptions!$L$48</f>
        <v>9375</v>
      </c>
      <c r="Y129" s="219">
        <f>((Assumptions!$M4/12)*Y$10)+((Assumptions!$M4/12)*Y$10)*Assumptions!$L$48</f>
        <v>9895.8333333333339</v>
      </c>
      <c r="Z129" s="219">
        <f>((Assumptions!$M4/12)*Z$10)+((Assumptions!$M4/12)*Z$10)*Assumptions!$L$48</f>
        <v>10416.666666666668</v>
      </c>
      <c r="AA129" s="219">
        <f>((Assumptions!$M4/12)*AA$10)+((Assumptions!$M4/12)*AA$10)*Assumptions!$L$48</f>
        <v>10937.5</v>
      </c>
      <c r="AB129" s="219">
        <f>((Assumptions!$M4/12)*AB$10)+((Assumptions!$M4/12)*AB$10)*Assumptions!$L$48</f>
        <v>11458.333333333336</v>
      </c>
      <c r="AC129" s="219">
        <f>((Assumptions!$M4/12)*AC$10)+((Assumptions!$M4/12)*AC$10)*Assumptions!$L$48</f>
        <v>11979.166666666668</v>
      </c>
      <c r="AD129" s="219">
        <f>((Assumptions!$M4/12)*AD$10)+((Assumptions!$M4/12)*AD$10)*Assumptions!$L$48</f>
        <v>12500</v>
      </c>
      <c r="AE129" s="219">
        <f>((Assumptions!$M4/12)*AE$10)+((Assumptions!$M4/12)*AE$10)*Assumptions!$L$48</f>
        <v>13020.833333333336</v>
      </c>
      <c r="AF129" s="219">
        <f>((Assumptions!$M4/12)*AF$10)+((Assumptions!$M4/12)*AF$10)*Assumptions!$M$48</f>
        <v>17333.333333333336</v>
      </c>
      <c r="AG129" s="219">
        <f>((Assumptions!$M4/12)*AG$10)+((Assumptions!$M4/12)*AG$10)*Assumptions!$M$48</f>
        <v>18000</v>
      </c>
      <c r="AH129" s="219">
        <f>((Assumptions!$M4/12)*AH$10)+((Assumptions!$M4/12)*AH$10)*Assumptions!$M$48</f>
        <v>18666.666666666668</v>
      </c>
      <c r="AI129" s="219">
        <f>((Assumptions!$M4/12)*AI$10)+((Assumptions!$M4/12)*AI$10)*Assumptions!$M$48</f>
        <v>19333.333333333336</v>
      </c>
      <c r="AJ129" s="219">
        <f>((Assumptions!$M4/12)*AJ$10)+((Assumptions!$M4/12)*AJ$10)*Assumptions!$M$48</f>
        <v>20000</v>
      </c>
      <c r="AK129" s="219">
        <f>((Assumptions!$M4/12)*AK$10)+((Assumptions!$M4/12)*AK$10)*Assumptions!$M$48</f>
        <v>20666.666666666668</v>
      </c>
      <c r="AL129" s="219">
        <f>((Assumptions!$M4/12)*AL$10)+((Assumptions!$M4/12)*AL$10)*Assumptions!$M$48</f>
        <v>21333.333333333336</v>
      </c>
      <c r="AM129" s="219">
        <f>((Assumptions!$M4/12)*AM$10)+((Assumptions!$M4/12)*AM$10)*Assumptions!$M$48</f>
        <v>22000</v>
      </c>
      <c r="AN129" s="219">
        <f>((Assumptions!$M4/12)*AN$10)+((Assumptions!$M4/12)*AN$10)*Assumptions!$M$48</f>
        <v>22666.666666666668</v>
      </c>
      <c r="AO129" s="219">
        <f>((Assumptions!$M4/12)*AO$10)+((Assumptions!$M4/12)*AO$10)*Assumptions!$M$48</f>
        <v>23333.333333333336</v>
      </c>
      <c r="AP129" s="219">
        <f>((Assumptions!$M4/12)*AP$10)+((Assumptions!$M4/12)*AP$10)*Assumptions!$M$48</f>
        <v>24000</v>
      </c>
      <c r="AQ129" s="219">
        <f>((Assumptions!$M4/12)*AQ$10)+((Assumptions!$M4/12)*AQ$10)*Assumptions!$M$48</f>
        <v>24666.666666666668</v>
      </c>
      <c r="AR129" s="219">
        <f>((Assumptions!$M4/12)*AR$10)+((Assumptions!$M4/12)*AR$10)*Assumptions!$N$48</f>
        <v>36416.666666666672</v>
      </c>
      <c r="AS129" s="219">
        <f>((Assumptions!$M4/12)*AS$10)+((Assumptions!$M4/12)*AS$10)*Assumptions!$N$48</f>
        <v>37375</v>
      </c>
      <c r="AT129" s="219">
        <f>((Assumptions!$M4/12)*AT$10)+((Assumptions!$M4/12)*AT$10)*Assumptions!$N$48</f>
        <v>38333.333333333336</v>
      </c>
      <c r="AU129" s="219">
        <f>((Assumptions!$M4/12)*AU$10)+((Assumptions!$M4/12)*AU$10)*Assumptions!$N$48</f>
        <v>39291.666666666672</v>
      </c>
      <c r="AV129" s="219">
        <f>((Assumptions!$M4/12)*AV$10)+((Assumptions!$M4/12)*AV$10)*Assumptions!$N$48</f>
        <v>40250</v>
      </c>
      <c r="AW129" s="219">
        <f>((Assumptions!$M4/12)*AW$10)+((Assumptions!$M4/12)*AW$10)*Assumptions!$N$48</f>
        <v>41208.333333333336</v>
      </c>
      <c r="AX129" s="219">
        <f>((Assumptions!$M4/12)*AX$10)+((Assumptions!$M4/12)*AX$10)*Assumptions!$N$48</f>
        <v>42166.666666666672</v>
      </c>
      <c r="AY129" s="219">
        <f>((Assumptions!$M4/12)*AY$10)+((Assumptions!$M4/12)*AY$10)*Assumptions!$N$48</f>
        <v>43125</v>
      </c>
      <c r="AZ129" s="219">
        <f>((Assumptions!$M4/12)*AZ$10)+((Assumptions!$M4/12)*AZ$10)*Assumptions!$N$48</f>
        <v>44083.333333333336</v>
      </c>
      <c r="BA129" s="219">
        <f>((Assumptions!$M4/12)*BA$10)+((Assumptions!$M4/12)*BA$10)*Assumptions!$N$48</f>
        <v>45041.666666666672</v>
      </c>
      <c r="BB129" s="219">
        <f>((Assumptions!$M4/12)*BB$10)+((Assumptions!$M4/12)*BB$10)*Assumptions!$N$48</f>
        <v>46000</v>
      </c>
      <c r="BC129" s="219">
        <f>((Assumptions!$M4/12)*BC$10)+((Assumptions!$M4/12)*BC$10)*Assumptions!$N$48</f>
        <v>46958.333333333336</v>
      </c>
      <c r="BD129" s="219">
        <f>((Assumptions!$M4/12)*BD$10)+((Assumptions!$M4/12)*BD$10)*Assumptions!$O$48</f>
        <v>62500.000000000007</v>
      </c>
      <c r="BE129" s="219">
        <f>((Assumptions!$M4/12)*BE$10)+((Assumptions!$M4/12)*BE$10)*Assumptions!$O$48</f>
        <v>63750</v>
      </c>
      <c r="BF129" s="219">
        <f>((Assumptions!$M4/12)*BF$10)+((Assumptions!$M4/12)*BF$10)*Assumptions!$O$48</f>
        <v>65000</v>
      </c>
      <c r="BG129" s="219">
        <f>((Assumptions!$M4/12)*BG$10)+((Assumptions!$M4/12)*BG$10)*Assumptions!$O$48</f>
        <v>66250</v>
      </c>
      <c r="BH129" s="219">
        <f>((Assumptions!$M4/12)*BH$10)+((Assumptions!$M4/12)*BH$10)*Assumptions!$O$48</f>
        <v>67500</v>
      </c>
      <c r="BI129" s="219">
        <f>((Assumptions!$M4/12)*BI$10)+((Assumptions!$M4/12)*BI$10)*Assumptions!$O$48</f>
        <v>68750</v>
      </c>
      <c r="BJ129" s="219">
        <f>((Assumptions!$M4/12)*BJ$10)+((Assumptions!$M4/12)*BJ$10)*Assumptions!$O$48</f>
        <v>70000</v>
      </c>
      <c r="BK129" s="219">
        <f>((Assumptions!$M4/12)*BK$10)+((Assumptions!$M4/12)*BK$10)*Assumptions!$O$48</f>
        <v>71250</v>
      </c>
      <c r="BL129" s="219">
        <f>((Assumptions!$M4/12)*BL$10)+((Assumptions!$M4/12)*BL$10)*Assumptions!$O$48</f>
        <v>72500</v>
      </c>
      <c r="BM129" s="219">
        <f>((Assumptions!$M4/12)*BM$10)+((Assumptions!$M4/12)*BM$10)*Assumptions!$O$48</f>
        <v>73750</v>
      </c>
      <c r="BN129" s="219">
        <f>((Assumptions!$M4/12)*BN$10)+((Assumptions!$M4/12)*BN$10)*Assumptions!$O$48</f>
        <v>75000</v>
      </c>
      <c r="BO129" s="219">
        <f>((Assumptions!$M4/12)*BO$10)+((Assumptions!$M4/12)*BO$10)*Assumptions!$O$48</f>
        <v>76250</v>
      </c>
    </row>
    <row r="130" spans="1:67" s="217" customFormat="1" x14ac:dyDescent="0.25">
      <c r="A130" s="215" t="str">
        <f>Assumptions!$J$5</f>
        <v>Pre Sales Person</v>
      </c>
      <c r="B130" s="216"/>
      <c r="D130" s="218"/>
      <c r="E130" s="218"/>
      <c r="F130" s="218"/>
      <c r="G130" s="218"/>
      <c r="H130" s="219">
        <f>((Assumptions!$M5/12)*H$13)+((Assumptions!$M5/12)*H$13)*Assumptions!$K$48</f>
        <v>0</v>
      </c>
      <c r="I130" s="219">
        <f>((Assumptions!$M5/12)*I$13)+((Assumptions!$M5/12)*I$13)*Assumptions!$K$48</f>
        <v>0</v>
      </c>
      <c r="J130" s="219">
        <f>((Assumptions!$M5/12)*J$13)+((Assumptions!$M5/12)*J$13)*Assumptions!$K$48</f>
        <v>0</v>
      </c>
      <c r="K130" s="219">
        <f>((Assumptions!$M5/12)*K$13)+((Assumptions!$M5/12)*K$13)*Assumptions!$K$48</f>
        <v>416.66666666666669</v>
      </c>
      <c r="L130" s="219">
        <f>((Assumptions!$M5/12)*L$13)+((Assumptions!$M5/12)*L$13)*Assumptions!$K$48</f>
        <v>416.66666666666669</v>
      </c>
      <c r="M130" s="219">
        <f>((Assumptions!$M5/12)*M$13)+((Assumptions!$M5/12)*M$13)*Assumptions!$K$48</f>
        <v>416.66666666666669</v>
      </c>
      <c r="N130" s="219">
        <f>((Assumptions!$M5/12)*N$13)+((Assumptions!$M5/12)*N$13)*Assumptions!$K$48</f>
        <v>416.66666666666669</v>
      </c>
      <c r="O130" s="219">
        <f>((Assumptions!$M5/12)*O$13)+((Assumptions!$M5/12)*O$13)*Assumptions!$K$48</f>
        <v>416.66666666666669</v>
      </c>
      <c r="P130" s="219">
        <f>((Assumptions!$M5/12)*P$13)+((Assumptions!$M5/12)*P$13)*Assumptions!$K$48</f>
        <v>833.33333333333337</v>
      </c>
      <c r="Q130" s="219">
        <f>((Assumptions!$M5/12)*Q$13)+((Assumptions!$M5/12)*Q$13)*Assumptions!$K$48</f>
        <v>833.33333333333337</v>
      </c>
      <c r="R130" s="219">
        <f>((Assumptions!$M5/12)*R$13)+((Assumptions!$M5/12)*R$13)*Assumptions!$K$48</f>
        <v>833.33333333333337</v>
      </c>
      <c r="S130" s="219">
        <f>((Assumptions!$M5/12)*S$13)+((Assumptions!$M5/12)*S$13)*Assumptions!$K$48</f>
        <v>833.33333333333337</v>
      </c>
      <c r="T130" s="219">
        <f>((Assumptions!$M5/12)*T$13)+((Assumptions!$M5/12)*T$13)*Assumptions!$L$48</f>
        <v>1041.6666666666667</v>
      </c>
      <c r="U130" s="219">
        <f>((Assumptions!$M5/12)*U$13)+((Assumptions!$M5/12)*U$13)*Assumptions!$L$48</f>
        <v>1562.5</v>
      </c>
      <c r="V130" s="219">
        <f>((Assumptions!$M5/12)*V$13)+((Assumptions!$M5/12)*V$13)*Assumptions!$L$48</f>
        <v>1562.5</v>
      </c>
      <c r="W130" s="219">
        <f>((Assumptions!$M5/12)*W$13)+((Assumptions!$M5/12)*W$13)*Assumptions!$L$48</f>
        <v>1562.5</v>
      </c>
      <c r="X130" s="219">
        <f>((Assumptions!$M5/12)*X$13)+((Assumptions!$M5/12)*X$13)*Assumptions!$L$48</f>
        <v>1562.5</v>
      </c>
      <c r="Y130" s="219">
        <f>((Assumptions!$M5/12)*Y$13)+((Assumptions!$M5/12)*Y$13)*Assumptions!$L$48</f>
        <v>1562.5</v>
      </c>
      <c r="Z130" s="219">
        <f>((Assumptions!$M5/12)*Z$13)+((Assumptions!$M5/12)*Z$13)*Assumptions!$L$48</f>
        <v>2083.3333333333335</v>
      </c>
      <c r="AA130" s="219">
        <f>((Assumptions!$M5/12)*AA$13)+((Assumptions!$M5/12)*AA$13)*Assumptions!$L$48</f>
        <v>2083.3333333333335</v>
      </c>
      <c r="AB130" s="219">
        <f>((Assumptions!$M5/12)*AB$13)+((Assumptions!$M5/12)*AB$13)*Assumptions!$L$48</f>
        <v>2083.3333333333335</v>
      </c>
      <c r="AC130" s="219">
        <f>((Assumptions!$M5/12)*AC$13)+((Assumptions!$M5/12)*AC$13)*Assumptions!$L$48</f>
        <v>2083.3333333333335</v>
      </c>
      <c r="AD130" s="219">
        <f>((Assumptions!$M5/12)*AD$13)+((Assumptions!$M5/12)*AD$13)*Assumptions!$L$48</f>
        <v>2083.3333333333335</v>
      </c>
      <c r="AE130" s="219">
        <f>((Assumptions!$M5/12)*AE$13)+((Assumptions!$M5/12)*AE$13)*Assumptions!$L$48</f>
        <v>2604.166666666667</v>
      </c>
      <c r="AF130" s="219">
        <f>((Assumptions!$M5/12)*AF$13)+((Assumptions!$M5/12)*AF$13)*Assumptions!$M$48</f>
        <v>3333.3333333333335</v>
      </c>
      <c r="AG130" s="219">
        <f>((Assumptions!$M5/12)*AG$13)+((Assumptions!$M5/12)*AG$13)*Assumptions!$M$48</f>
        <v>3333.3333333333335</v>
      </c>
      <c r="AH130" s="219">
        <f>((Assumptions!$M5/12)*AH$13)+((Assumptions!$M5/12)*AH$13)*Assumptions!$M$48</f>
        <v>3333.3333333333335</v>
      </c>
      <c r="AI130" s="219">
        <f>((Assumptions!$M5/12)*AI$13)+((Assumptions!$M5/12)*AI$13)*Assumptions!$M$48</f>
        <v>3333.3333333333335</v>
      </c>
      <c r="AJ130" s="219">
        <f>((Assumptions!$M5/12)*AJ$13)+((Assumptions!$M5/12)*AJ$13)*Assumptions!$M$48</f>
        <v>4000</v>
      </c>
      <c r="AK130" s="219">
        <f>((Assumptions!$M5/12)*AK$13)+((Assumptions!$M5/12)*AK$13)*Assumptions!$M$48</f>
        <v>4000</v>
      </c>
      <c r="AL130" s="219">
        <f>((Assumptions!$M5/12)*AL$13)+((Assumptions!$M5/12)*AL$13)*Assumptions!$M$48</f>
        <v>4000</v>
      </c>
      <c r="AM130" s="219">
        <f>((Assumptions!$M5/12)*AM$13)+((Assumptions!$M5/12)*AM$13)*Assumptions!$M$48</f>
        <v>4000</v>
      </c>
      <c r="AN130" s="219">
        <f>((Assumptions!$M5/12)*AN$13)+((Assumptions!$M5/12)*AN$13)*Assumptions!$M$48</f>
        <v>4000</v>
      </c>
      <c r="AO130" s="219">
        <f>((Assumptions!$M5/12)*AO$13)+((Assumptions!$M5/12)*AO$13)*Assumptions!$M$48</f>
        <v>4666.666666666667</v>
      </c>
      <c r="AP130" s="219">
        <f>((Assumptions!$M5/12)*AP$13)+((Assumptions!$M5/12)*AP$13)*Assumptions!$M$48</f>
        <v>4666.666666666667</v>
      </c>
      <c r="AQ130" s="219">
        <f>((Assumptions!$M5/12)*AQ$13)+((Assumptions!$M5/12)*AQ$13)*Assumptions!$M$48</f>
        <v>4666.666666666667</v>
      </c>
      <c r="AR130" s="219">
        <f>((Assumptions!$M5/12)*AR$13)+((Assumptions!$M5/12)*AR$13)*Assumptions!$N$48</f>
        <v>6708.3333333333339</v>
      </c>
      <c r="AS130" s="219">
        <f>((Assumptions!$M5/12)*AS$13)+((Assumptions!$M5/12)*AS$13)*Assumptions!$N$48</f>
        <v>6708.3333333333339</v>
      </c>
      <c r="AT130" s="219">
        <f>((Assumptions!$M5/12)*AT$13)+((Assumptions!$M5/12)*AT$13)*Assumptions!$N$48</f>
        <v>7666.6666666666679</v>
      </c>
      <c r="AU130" s="219">
        <f>((Assumptions!$M5/12)*AU$13)+((Assumptions!$M5/12)*AU$13)*Assumptions!$N$48</f>
        <v>7666.6666666666679</v>
      </c>
      <c r="AV130" s="219">
        <f>((Assumptions!$M5/12)*AV$13)+((Assumptions!$M5/12)*AV$13)*Assumptions!$N$48</f>
        <v>7666.6666666666679</v>
      </c>
      <c r="AW130" s="219">
        <f>((Assumptions!$M5/12)*AW$13)+((Assumptions!$M5/12)*AW$13)*Assumptions!$N$48</f>
        <v>7666.6666666666679</v>
      </c>
      <c r="AX130" s="219">
        <f>((Assumptions!$M5/12)*AX$13)+((Assumptions!$M5/12)*AX$13)*Assumptions!$N$48</f>
        <v>7666.6666666666679</v>
      </c>
      <c r="AY130" s="219">
        <f>((Assumptions!$M5/12)*AY$13)+((Assumptions!$M5/12)*AY$13)*Assumptions!$N$48</f>
        <v>8625</v>
      </c>
      <c r="AZ130" s="219">
        <f>((Assumptions!$M5/12)*AZ$13)+((Assumptions!$M5/12)*AZ$13)*Assumptions!$N$48</f>
        <v>8625</v>
      </c>
      <c r="BA130" s="219">
        <f>((Assumptions!$M5/12)*BA$13)+((Assumptions!$M5/12)*BA$13)*Assumptions!$N$48</f>
        <v>8625</v>
      </c>
      <c r="BB130" s="219">
        <f>((Assumptions!$M5/12)*BB$13)+((Assumptions!$M5/12)*BB$13)*Assumptions!$N$48</f>
        <v>8625</v>
      </c>
      <c r="BC130" s="219">
        <f>((Assumptions!$M5/12)*BC$13)+((Assumptions!$M5/12)*BC$13)*Assumptions!$N$48</f>
        <v>8625</v>
      </c>
      <c r="BD130" s="219">
        <f>((Assumptions!$M5/12)*BD$13)+((Assumptions!$M5/12)*BD$13)*Assumptions!$O$48</f>
        <v>12500</v>
      </c>
      <c r="BE130" s="219">
        <f>((Assumptions!$M5/12)*BE$13)+((Assumptions!$M5/12)*BE$13)*Assumptions!$O$48</f>
        <v>12500</v>
      </c>
      <c r="BF130" s="219">
        <f>((Assumptions!$M5/12)*BF$13)+((Assumptions!$M5/12)*BF$13)*Assumptions!$O$48</f>
        <v>12500</v>
      </c>
      <c r="BG130" s="219">
        <f>((Assumptions!$M5/12)*BG$13)+((Assumptions!$M5/12)*BG$13)*Assumptions!$O$48</f>
        <v>12500</v>
      </c>
      <c r="BH130" s="219">
        <f>((Assumptions!$M5/12)*BH$13)+((Assumptions!$M5/12)*BH$13)*Assumptions!$O$48</f>
        <v>12500</v>
      </c>
      <c r="BI130" s="219">
        <f>((Assumptions!$M5/12)*BI$13)+((Assumptions!$M5/12)*BI$13)*Assumptions!$O$48</f>
        <v>13750.000000000002</v>
      </c>
      <c r="BJ130" s="219">
        <f>((Assumptions!$M5/12)*BJ$13)+((Assumptions!$M5/12)*BJ$13)*Assumptions!$O$48</f>
        <v>13750.000000000002</v>
      </c>
      <c r="BK130" s="219">
        <f>((Assumptions!$M5/12)*BK$13)+((Assumptions!$M5/12)*BK$13)*Assumptions!$O$48</f>
        <v>13750.000000000002</v>
      </c>
      <c r="BL130" s="219">
        <f>((Assumptions!$M5/12)*BL$13)+((Assumptions!$M5/12)*BL$13)*Assumptions!$O$48</f>
        <v>13750.000000000002</v>
      </c>
      <c r="BM130" s="219">
        <f>((Assumptions!$M5/12)*BM$13)+((Assumptions!$M5/12)*BM$13)*Assumptions!$O$48</f>
        <v>13750.000000000002</v>
      </c>
      <c r="BN130" s="219">
        <f>((Assumptions!$M5/12)*BN$13)+((Assumptions!$M5/12)*BN$13)*Assumptions!$O$48</f>
        <v>15000</v>
      </c>
      <c r="BO130" s="219">
        <f>((Assumptions!$M5/12)*BO$13)+((Assumptions!$M5/12)*BO$13)*Assumptions!$O$48</f>
        <v>15000</v>
      </c>
    </row>
    <row r="131" spans="1:67" s="217" customFormat="1" x14ac:dyDescent="0.25">
      <c r="A131" s="215" t="str">
        <f>Assumptions!$J$6</f>
        <v>Sales Assistant</v>
      </c>
      <c r="B131" s="216"/>
      <c r="D131" s="218"/>
      <c r="E131" s="218"/>
      <c r="F131" s="218"/>
      <c r="G131" s="218"/>
      <c r="H131" s="219">
        <f>((Assumptions!$M6/12)*H$14)+((Assumptions!$M6/12)*H$14)*Assumptions!$K$48</f>
        <v>0</v>
      </c>
      <c r="I131" s="219">
        <f>((Assumptions!$M6/12)*I$14)+((Assumptions!$M6/12)*I$14)*Assumptions!$K$48</f>
        <v>0</v>
      </c>
      <c r="J131" s="219">
        <f>((Assumptions!$M6/12)*J$14)+((Assumptions!$M6/12)*J$14)*Assumptions!$K$48</f>
        <v>0</v>
      </c>
      <c r="K131" s="219">
        <f>((Assumptions!$M6/12)*K$14)+((Assumptions!$M6/12)*K$14)*Assumptions!$K$48</f>
        <v>0</v>
      </c>
      <c r="L131" s="219">
        <f>((Assumptions!$M6/12)*L$14)+((Assumptions!$M6/12)*L$14)*Assumptions!$K$48</f>
        <v>0</v>
      </c>
      <c r="M131" s="219">
        <f>((Assumptions!$M6/12)*M$14)+((Assumptions!$M6/12)*M$14)*Assumptions!$K$48</f>
        <v>0</v>
      </c>
      <c r="N131" s="219">
        <f>((Assumptions!$M6/12)*N$14)+((Assumptions!$M6/12)*N$14)*Assumptions!$K$48</f>
        <v>0</v>
      </c>
      <c r="O131" s="219">
        <f>((Assumptions!$M6/12)*O$14)+((Assumptions!$M6/12)*O$14)*Assumptions!$K$48</f>
        <v>0</v>
      </c>
      <c r="P131" s="219">
        <f>((Assumptions!$M6/12)*P$14)+((Assumptions!$M6/12)*P$14)*Assumptions!$K$48</f>
        <v>416.66666666666669</v>
      </c>
      <c r="Q131" s="219">
        <f>((Assumptions!$M6/12)*Q$14)+((Assumptions!$M6/12)*Q$14)*Assumptions!$K$48</f>
        <v>416.66666666666669</v>
      </c>
      <c r="R131" s="219">
        <f>((Assumptions!$M6/12)*R$14)+((Assumptions!$M6/12)*R$14)*Assumptions!$K$48</f>
        <v>416.66666666666669</v>
      </c>
      <c r="S131" s="219">
        <f>((Assumptions!$M6/12)*S$14)+((Assumptions!$M6/12)*S$14)*Assumptions!$K$48</f>
        <v>416.66666666666669</v>
      </c>
      <c r="T131" s="219">
        <f>((Assumptions!$M6/12)*T$14)+((Assumptions!$M6/12)*T$14)*Assumptions!$L$48</f>
        <v>520.83333333333337</v>
      </c>
      <c r="U131" s="219">
        <f>((Assumptions!$M6/12)*U$14)+((Assumptions!$M6/12)*U$14)*Assumptions!$L$48</f>
        <v>520.83333333333337</v>
      </c>
      <c r="V131" s="219">
        <f>((Assumptions!$M6/12)*V$14)+((Assumptions!$M6/12)*V$14)*Assumptions!$L$48</f>
        <v>520.83333333333337</v>
      </c>
      <c r="W131" s="219">
        <f>((Assumptions!$M6/12)*W$14)+((Assumptions!$M6/12)*W$14)*Assumptions!$L$48</f>
        <v>520.83333333333337</v>
      </c>
      <c r="X131" s="219">
        <f>((Assumptions!$M6/12)*X$14)+((Assumptions!$M6/12)*X$14)*Assumptions!$L$48</f>
        <v>520.83333333333337</v>
      </c>
      <c r="Y131" s="219">
        <f>((Assumptions!$M6/12)*Y$14)+((Assumptions!$M6/12)*Y$14)*Assumptions!$L$48</f>
        <v>520.83333333333337</v>
      </c>
      <c r="Z131" s="219">
        <f>((Assumptions!$M6/12)*Z$14)+((Assumptions!$M6/12)*Z$14)*Assumptions!$L$48</f>
        <v>1041.6666666666667</v>
      </c>
      <c r="AA131" s="219">
        <f>((Assumptions!$M6/12)*AA$14)+((Assumptions!$M6/12)*AA$14)*Assumptions!$L$48</f>
        <v>1041.6666666666667</v>
      </c>
      <c r="AB131" s="219">
        <f>((Assumptions!$M6/12)*AB$14)+((Assumptions!$M6/12)*AB$14)*Assumptions!$L$48</f>
        <v>1041.6666666666667</v>
      </c>
      <c r="AC131" s="219">
        <f>((Assumptions!$M6/12)*AC$14)+((Assumptions!$M6/12)*AC$14)*Assumptions!$L$48</f>
        <v>1041.6666666666667</v>
      </c>
      <c r="AD131" s="219">
        <f>((Assumptions!$M6/12)*AD$14)+((Assumptions!$M6/12)*AD$14)*Assumptions!$L$48</f>
        <v>1041.6666666666667</v>
      </c>
      <c r="AE131" s="219">
        <f>((Assumptions!$M6/12)*AE$14)+((Assumptions!$M6/12)*AE$14)*Assumptions!$L$48</f>
        <v>1041.6666666666667</v>
      </c>
      <c r="AF131" s="219">
        <f>((Assumptions!$M6/12)*AF$14)+((Assumptions!$M6/12)*AF$14)*Assumptions!$M$48</f>
        <v>1333.3333333333335</v>
      </c>
      <c r="AG131" s="219">
        <f>((Assumptions!$M6/12)*AG$14)+((Assumptions!$M6/12)*AG$14)*Assumptions!$M$48</f>
        <v>1333.3333333333335</v>
      </c>
      <c r="AH131" s="219">
        <f>((Assumptions!$M6/12)*AH$14)+((Assumptions!$M6/12)*AH$14)*Assumptions!$M$48</f>
        <v>1333.3333333333335</v>
      </c>
      <c r="AI131" s="219">
        <f>((Assumptions!$M6/12)*AI$14)+((Assumptions!$M6/12)*AI$14)*Assumptions!$M$48</f>
        <v>1333.3333333333335</v>
      </c>
      <c r="AJ131" s="219">
        <f>((Assumptions!$M6/12)*AJ$14)+((Assumptions!$M6/12)*AJ$14)*Assumptions!$M$48</f>
        <v>2000</v>
      </c>
      <c r="AK131" s="219">
        <f>((Assumptions!$M6/12)*AK$14)+((Assumptions!$M6/12)*AK$14)*Assumptions!$M$48</f>
        <v>2000</v>
      </c>
      <c r="AL131" s="219">
        <f>((Assumptions!$M6/12)*AL$14)+((Assumptions!$M6/12)*AL$14)*Assumptions!$M$48</f>
        <v>2000</v>
      </c>
      <c r="AM131" s="219">
        <f>((Assumptions!$M6/12)*AM$14)+((Assumptions!$M6/12)*AM$14)*Assumptions!$M$48</f>
        <v>2000</v>
      </c>
      <c r="AN131" s="219">
        <f>((Assumptions!$M6/12)*AN$14)+((Assumptions!$M6/12)*AN$14)*Assumptions!$M$48</f>
        <v>2000</v>
      </c>
      <c r="AO131" s="219">
        <f>((Assumptions!$M6/12)*AO$14)+((Assumptions!$M6/12)*AO$14)*Assumptions!$M$48</f>
        <v>2000</v>
      </c>
      <c r="AP131" s="219">
        <f>((Assumptions!$M6/12)*AP$14)+((Assumptions!$M6/12)*AP$14)*Assumptions!$M$48</f>
        <v>2000</v>
      </c>
      <c r="AQ131" s="219">
        <f>((Assumptions!$M6/12)*AQ$14)+((Assumptions!$M6/12)*AQ$14)*Assumptions!$M$48</f>
        <v>2000</v>
      </c>
      <c r="AR131" s="219">
        <f>((Assumptions!$M6/12)*AR$14)+((Assumptions!$M6/12)*AR$14)*Assumptions!$N$48</f>
        <v>2875</v>
      </c>
      <c r="AS131" s="219">
        <f>((Assumptions!$M6/12)*AS$14)+((Assumptions!$M6/12)*AS$14)*Assumptions!$N$48</f>
        <v>2875</v>
      </c>
      <c r="AT131" s="219">
        <f>((Assumptions!$M6/12)*AT$14)+((Assumptions!$M6/12)*AT$14)*Assumptions!$N$48</f>
        <v>3833.3333333333339</v>
      </c>
      <c r="AU131" s="219">
        <f>((Assumptions!$M6/12)*AU$14)+((Assumptions!$M6/12)*AU$14)*Assumptions!$N$48</f>
        <v>3833.3333333333339</v>
      </c>
      <c r="AV131" s="219">
        <f>((Assumptions!$M6/12)*AV$14)+((Assumptions!$M6/12)*AV$14)*Assumptions!$N$48</f>
        <v>3833.3333333333339</v>
      </c>
      <c r="AW131" s="219">
        <f>((Assumptions!$M6/12)*AW$14)+((Assumptions!$M6/12)*AW$14)*Assumptions!$N$48</f>
        <v>3833.3333333333339</v>
      </c>
      <c r="AX131" s="219">
        <f>((Assumptions!$M6/12)*AX$14)+((Assumptions!$M6/12)*AX$14)*Assumptions!$N$48</f>
        <v>3833.3333333333339</v>
      </c>
      <c r="AY131" s="219">
        <f>((Assumptions!$M6/12)*AY$14)+((Assumptions!$M6/12)*AY$14)*Assumptions!$N$48</f>
        <v>3833.3333333333339</v>
      </c>
      <c r="AZ131" s="219">
        <f>((Assumptions!$M6/12)*AZ$14)+((Assumptions!$M6/12)*AZ$14)*Assumptions!$N$48</f>
        <v>3833.3333333333339</v>
      </c>
      <c r="BA131" s="219">
        <f>((Assumptions!$M6/12)*BA$14)+((Assumptions!$M6/12)*BA$14)*Assumptions!$N$48</f>
        <v>3833.3333333333339</v>
      </c>
      <c r="BB131" s="219">
        <f>((Assumptions!$M6/12)*BB$14)+((Assumptions!$M6/12)*BB$14)*Assumptions!$N$48</f>
        <v>3833.3333333333339</v>
      </c>
      <c r="BC131" s="219">
        <f>((Assumptions!$M6/12)*BC$14)+((Assumptions!$M6/12)*BC$14)*Assumptions!$N$48</f>
        <v>3833.3333333333339</v>
      </c>
      <c r="BD131" s="219">
        <f>((Assumptions!$M6/12)*BD$14)+((Assumptions!$M6/12)*BD$14)*Assumptions!$O$48</f>
        <v>6250</v>
      </c>
      <c r="BE131" s="219">
        <f>((Assumptions!$M6/12)*BE$14)+((Assumptions!$M6/12)*BE$14)*Assumptions!$O$48</f>
        <v>6250</v>
      </c>
      <c r="BF131" s="219">
        <f>((Assumptions!$M6/12)*BF$14)+((Assumptions!$M6/12)*BF$14)*Assumptions!$O$48</f>
        <v>6250</v>
      </c>
      <c r="BG131" s="219">
        <f>((Assumptions!$M6/12)*BG$14)+((Assumptions!$M6/12)*BG$14)*Assumptions!$O$48</f>
        <v>6250</v>
      </c>
      <c r="BH131" s="219">
        <f>((Assumptions!$M6/12)*BH$14)+((Assumptions!$M6/12)*BH$14)*Assumptions!$O$48</f>
        <v>6250</v>
      </c>
      <c r="BI131" s="219">
        <f>((Assumptions!$M6/12)*BI$14)+((Assumptions!$M6/12)*BI$14)*Assumptions!$O$48</f>
        <v>6250</v>
      </c>
      <c r="BJ131" s="219">
        <f>((Assumptions!$M6/12)*BJ$14)+((Assumptions!$M6/12)*BJ$14)*Assumptions!$O$48</f>
        <v>6250</v>
      </c>
      <c r="BK131" s="219">
        <f>((Assumptions!$M6/12)*BK$14)+((Assumptions!$M6/12)*BK$14)*Assumptions!$O$48</f>
        <v>6250</v>
      </c>
      <c r="BL131" s="219">
        <f>((Assumptions!$M6/12)*BL$14)+((Assumptions!$M6/12)*BL$14)*Assumptions!$O$48</f>
        <v>6250</v>
      </c>
      <c r="BM131" s="219">
        <f>((Assumptions!$M6/12)*BM$14)+((Assumptions!$M6/12)*BM$14)*Assumptions!$O$48</f>
        <v>6250</v>
      </c>
      <c r="BN131" s="219">
        <f>((Assumptions!$M6/12)*BN$14)+((Assumptions!$M6/12)*BN$14)*Assumptions!$O$48</f>
        <v>7500</v>
      </c>
      <c r="BO131" s="219">
        <f>((Assumptions!$M6/12)*BO$14)+((Assumptions!$M6/12)*BO$14)*Assumptions!$O$48</f>
        <v>7500</v>
      </c>
    </row>
    <row r="132" spans="1:67" s="25" customFormat="1" x14ac:dyDescent="0.25">
      <c r="A132" s="25" t="s">
        <v>243</v>
      </c>
      <c r="B132" s="202">
        <f>MAX(D132:AQ132)</f>
        <v>32000.000000000004</v>
      </c>
      <c r="D132" s="25">
        <f>SUM(D127:D131)</f>
        <v>0</v>
      </c>
      <c r="E132" s="25">
        <f t="shared" ref="E132:BO132" si="34">SUM(E127:E131)</f>
        <v>0</v>
      </c>
      <c r="F132" s="25">
        <f t="shared" si="34"/>
        <v>0</v>
      </c>
      <c r="G132" s="25">
        <f t="shared" si="34"/>
        <v>0</v>
      </c>
      <c r="H132" s="25">
        <f t="shared" si="34"/>
        <v>1250</v>
      </c>
      <c r="I132" s="25">
        <f t="shared" si="34"/>
        <v>1666.6666666666667</v>
      </c>
      <c r="J132" s="25">
        <f t="shared" si="34"/>
        <v>2083.3333333333335</v>
      </c>
      <c r="K132" s="25">
        <f t="shared" si="34"/>
        <v>2916.6666666666665</v>
      </c>
      <c r="L132" s="25">
        <f t="shared" si="34"/>
        <v>3333.333333333333</v>
      </c>
      <c r="M132" s="25">
        <f t="shared" si="34"/>
        <v>3750</v>
      </c>
      <c r="N132" s="25">
        <f t="shared" si="34"/>
        <v>4166.666666666667</v>
      </c>
      <c r="O132" s="25">
        <f t="shared" si="34"/>
        <v>4583.3333333333339</v>
      </c>
      <c r="P132" s="25">
        <f t="shared" si="34"/>
        <v>5833.3333333333339</v>
      </c>
      <c r="Q132" s="25">
        <f t="shared" si="34"/>
        <v>6250.0000000000009</v>
      </c>
      <c r="R132" s="25">
        <f t="shared" si="34"/>
        <v>6666.666666666667</v>
      </c>
      <c r="S132" s="25">
        <f t="shared" si="34"/>
        <v>7083.3333333333339</v>
      </c>
      <c r="T132" s="25">
        <f t="shared" si="34"/>
        <v>9375.0000000000018</v>
      </c>
      <c r="U132" s="25">
        <f t="shared" si="34"/>
        <v>10416.666666666668</v>
      </c>
      <c r="V132" s="25">
        <f t="shared" si="34"/>
        <v>10937.500000000002</v>
      </c>
      <c r="W132" s="25">
        <f t="shared" si="34"/>
        <v>11458.333333333336</v>
      </c>
      <c r="X132" s="25">
        <f t="shared" si="34"/>
        <v>11979.166666666668</v>
      </c>
      <c r="Y132" s="25">
        <f t="shared" si="34"/>
        <v>12500.000000000002</v>
      </c>
      <c r="Z132" s="25">
        <f t="shared" si="34"/>
        <v>14062.500000000002</v>
      </c>
      <c r="AA132" s="25">
        <f t="shared" si="34"/>
        <v>14583.333333333334</v>
      </c>
      <c r="AB132" s="25">
        <f t="shared" si="34"/>
        <v>15104.16666666667</v>
      </c>
      <c r="AC132" s="25">
        <f t="shared" si="34"/>
        <v>15625.000000000002</v>
      </c>
      <c r="AD132" s="25">
        <f t="shared" si="34"/>
        <v>16145.833333333334</v>
      </c>
      <c r="AE132" s="25">
        <f t="shared" si="34"/>
        <v>17187.500000000004</v>
      </c>
      <c r="AF132" s="25">
        <f t="shared" si="34"/>
        <v>22666.666666666668</v>
      </c>
      <c r="AG132" s="25">
        <f t="shared" si="34"/>
        <v>23333.333333333332</v>
      </c>
      <c r="AH132" s="25">
        <f t="shared" si="34"/>
        <v>24000</v>
      </c>
      <c r="AI132" s="25">
        <f t="shared" si="34"/>
        <v>24666.666666666668</v>
      </c>
      <c r="AJ132" s="25">
        <f t="shared" si="34"/>
        <v>26666.666666666668</v>
      </c>
      <c r="AK132" s="25">
        <f t="shared" si="34"/>
        <v>27333.333333333336</v>
      </c>
      <c r="AL132" s="25">
        <f t="shared" si="34"/>
        <v>28000.000000000004</v>
      </c>
      <c r="AM132" s="25">
        <f t="shared" si="34"/>
        <v>28666.666666666668</v>
      </c>
      <c r="AN132" s="25">
        <f t="shared" si="34"/>
        <v>29333.333333333336</v>
      </c>
      <c r="AO132" s="25">
        <f t="shared" si="34"/>
        <v>30666.666666666672</v>
      </c>
      <c r="AP132" s="25">
        <f t="shared" si="34"/>
        <v>31333.333333333336</v>
      </c>
      <c r="AQ132" s="25">
        <f t="shared" si="34"/>
        <v>32000.000000000004</v>
      </c>
      <c r="AR132" s="25">
        <f t="shared" si="34"/>
        <v>46958.333333333343</v>
      </c>
      <c r="AS132" s="25">
        <f t="shared" si="34"/>
        <v>47916.666666666672</v>
      </c>
      <c r="AT132" s="25">
        <f t="shared" si="34"/>
        <v>50791.666666666679</v>
      </c>
      <c r="AU132" s="25">
        <f t="shared" si="34"/>
        <v>51750.000000000007</v>
      </c>
      <c r="AV132" s="25">
        <f t="shared" si="34"/>
        <v>52708.333333333336</v>
      </c>
      <c r="AW132" s="25">
        <f t="shared" si="34"/>
        <v>53666.666666666679</v>
      </c>
      <c r="AX132" s="25">
        <f t="shared" si="34"/>
        <v>54625.000000000007</v>
      </c>
      <c r="AY132" s="25">
        <f t="shared" si="34"/>
        <v>56541.666666666672</v>
      </c>
      <c r="AZ132" s="25">
        <f t="shared" si="34"/>
        <v>57500.000000000007</v>
      </c>
      <c r="BA132" s="25">
        <f t="shared" si="34"/>
        <v>58458.333333333343</v>
      </c>
      <c r="BB132" s="25">
        <f t="shared" si="34"/>
        <v>59416.666666666672</v>
      </c>
      <c r="BC132" s="25">
        <f t="shared" si="34"/>
        <v>60375.000000000007</v>
      </c>
      <c r="BD132" s="25">
        <f t="shared" si="34"/>
        <v>82500</v>
      </c>
      <c r="BE132" s="25">
        <f t="shared" si="34"/>
        <v>83750</v>
      </c>
      <c r="BF132" s="25">
        <f t="shared" si="34"/>
        <v>85000</v>
      </c>
      <c r="BG132" s="25">
        <f t="shared" si="34"/>
        <v>86250</v>
      </c>
      <c r="BH132" s="25">
        <f t="shared" si="34"/>
        <v>87500</v>
      </c>
      <c r="BI132" s="25">
        <f t="shared" si="34"/>
        <v>90000</v>
      </c>
      <c r="BJ132" s="25">
        <f t="shared" si="34"/>
        <v>91250</v>
      </c>
      <c r="BK132" s="25">
        <f t="shared" si="34"/>
        <v>92500</v>
      </c>
      <c r="BL132" s="25">
        <f t="shared" si="34"/>
        <v>93750</v>
      </c>
      <c r="BM132" s="25">
        <f t="shared" si="34"/>
        <v>95000</v>
      </c>
      <c r="BN132" s="25">
        <f t="shared" si="34"/>
        <v>98750</v>
      </c>
      <c r="BO132" s="25">
        <f t="shared" si="34"/>
        <v>100000</v>
      </c>
    </row>
    <row r="133" spans="1:67" x14ac:dyDescent="0.25">
      <c r="B133" s="202"/>
    </row>
    <row r="134" spans="1:67" x14ac:dyDescent="0.25">
      <c r="A134" s="197" t="s">
        <v>177</v>
      </c>
      <c r="B134" s="202"/>
    </row>
    <row r="135" spans="1:67" x14ac:dyDescent="0.25">
      <c r="A135" s="213" t="str">
        <f>Assumptions!$J$9</f>
        <v>CEO</v>
      </c>
      <c r="B135" s="202" t="b">
        <f>(H135*12)=Assumptions!M9</f>
        <v>1</v>
      </c>
      <c r="D135" s="214"/>
      <c r="E135" s="214"/>
      <c r="F135" s="214"/>
      <c r="G135" s="214"/>
      <c r="H135" s="51">
        <f>(Assumptions!$M9/12)+(Assumptions!$M9/12)*Assumptions!$K$48</f>
        <v>416.66666666666669</v>
      </c>
      <c r="I135" s="51">
        <f>(Assumptions!$M9/12)+(Assumptions!$M9/12)*Assumptions!$K$48</f>
        <v>416.66666666666669</v>
      </c>
      <c r="J135" s="51">
        <f>(Assumptions!$M9/12)+(Assumptions!$M9/12)*Assumptions!$K$48</f>
        <v>416.66666666666669</v>
      </c>
      <c r="K135" s="51">
        <f>(Assumptions!$M9/12)+(Assumptions!$M9/12)*Assumptions!$K$48</f>
        <v>416.66666666666669</v>
      </c>
      <c r="L135" s="51">
        <f>(Assumptions!$M9/12)+(Assumptions!$M9/12)*Assumptions!$K$48</f>
        <v>416.66666666666669</v>
      </c>
      <c r="M135" s="51">
        <f>(Assumptions!$M9/12)+(Assumptions!$M9/12)*Assumptions!$K$48</f>
        <v>416.66666666666669</v>
      </c>
      <c r="N135" s="51">
        <f>(Assumptions!$M9/12)+(Assumptions!$M9/12)*Assumptions!$K$48</f>
        <v>416.66666666666669</v>
      </c>
      <c r="O135" s="51">
        <f>(Assumptions!$M9/12)+(Assumptions!$M9/12)*Assumptions!$K$48</f>
        <v>416.66666666666669</v>
      </c>
      <c r="P135" s="51">
        <f>(Assumptions!$M9/12)+(Assumptions!$M9/12)*Assumptions!$K$48</f>
        <v>416.66666666666669</v>
      </c>
      <c r="Q135" s="51">
        <f>(Assumptions!$M9/12)+(Assumptions!$M9/12)*Assumptions!$K$48</f>
        <v>416.66666666666669</v>
      </c>
      <c r="R135" s="51">
        <f>(Assumptions!$M9/12)+(Assumptions!$M9/12)*Assumptions!$K$48</f>
        <v>416.66666666666669</v>
      </c>
      <c r="S135" s="51">
        <f>(Assumptions!$M9/12)+(Assumptions!$M9/12)*Assumptions!$K$48</f>
        <v>416.66666666666669</v>
      </c>
      <c r="T135" s="51">
        <f>(Assumptions!$M9/12)+(Assumptions!$M9/12)*Assumptions!$L$48</f>
        <v>520.83333333333337</v>
      </c>
      <c r="U135" s="51">
        <f>(Assumptions!$M9/12)+(Assumptions!$M9/12)*Assumptions!$L$48</f>
        <v>520.83333333333337</v>
      </c>
      <c r="V135" s="51">
        <f>(Assumptions!$M9/12)+(Assumptions!$M9/12)*Assumptions!$L$48</f>
        <v>520.83333333333337</v>
      </c>
      <c r="W135" s="51">
        <f>(Assumptions!$M9/12)+(Assumptions!$M9/12)*Assumptions!$L$48</f>
        <v>520.83333333333337</v>
      </c>
      <c r="X135" s="51">
        <f>(Assumptions!$M9/12)+(Assumptions!$M9/12)*Assumptions!$L$48</f>
        <v>520.83333333333337</v>
      </c>
      <c r="Y135" s="51">
        <f>(Assumptions!$M9/12)+(Assumptions!$M9/12)*Assumptions!$L$48</f>
        <v>520.83333333333337</v>
      </c>
      <c r="Z135" s="51">
        <f>(Assumptions!$M9/12)+(Assumptions!$M9/12)*Assumptions!$L$48</f>
        <v>520.83333333333337</v>
      </c>
      <c r="AA135" s="51">
        <f>(Assumptions!$M9/12)+(Assumptions!$M9/12)*Assumptions!$L$48</f>
        <v>520.83333333333337</v>
      </c>
      <c r="AB135" s="51">
        <f>(Assumptions!$M9/12)+(Assumptions!$M9/12)*Assumptions!$L$48</f>
        <v>520.83333333333337</v>
      </c>
      <c r="AC135" s="51">
        <f>(Assumptions!$M9/12)+(Assumptions!$M9/12)*Assumptions!$L$48</f>
        <v>520.83333333333337</v>
      </c>
      <c r="AD135" s="51">
        <f>(Assumptions!$M9/12)+(Assumptions!$M9/12)*Assumptions!$L$48</f>
        <v>520.83333333333337</v>
      </c>
      <c r="AE135" s="51">
        <f>(Assumptions!$M9/12)+(Assumptions!$M9/12)*Assumptions!$L$48</f>
        <v>520.83333333333337</v>
      </c>
      <c r="AF135" s="51">
        <f>(Assumptions!$M9/12)+(Assumptions!$M9/12)*Assumptions!$M$48</f>
        <v>666.66666666666674</v>
      </c>
      <c r="AG135" s="51">
        <f>(Assumptions!$M9/12)+(Assumptions!$M9/12)*Assumptions!$M$48</f>
        <v>666.66666666666674</v>
      </c>
      <c r="AH135" s="51">
        <f>(Assumptions!$M9/12)+(Assumptions!$M9/12)*Assumptions!$M$48</f>
        <v>666.66666666666674</v>
      </c>
      <c r="AI135" s="51">
        <f>(Assumptions!$M9/12)+(Assumptions!$M9/12)*Assumptions!$M$48</f>
        <v>666.66666666666674</v>
      </c>
      <c r="AJ135" s="51">
        <f>(Assumptions!$M9/12)+(Assumptions!$M9/12)*Assumptions!$M$48</f>
        <v>666.66666666666674</v>
      </c>
      <c r="AK135" s="51">
        <f>(Assumptions!$M9/12)+(Assumptions!$M9/12)*Assumptions!$M$48</f>
        <v>666.66666666666674</v>
      </c>
      <c r="AL135" s="51">
        <f>(Assumptions!$M9/12)+(Assumptions!$M9/12)*Assumptions!$M$48</f>
        <v>666.66666666666674</v>
      </c>
      <c r="AM135" s="51">
        <f>(Assumptions!$M9/12)+(Assumptions!$M9/12)*Assumptions!$M$48</f>
        <v>666.66666666666674</v>
      </c>
      <c r="AN135" s="51">
        <f>(Assumptions!$M9/12)+(Assumptions!$M9/12)*Assumptions!$M$48</f>
        <v>666.66666666666674</v>
      </c>
      <c r="AO135" s="51">
        <f>(Assumptions!$M9/12)+(Assumptions!$M9/12)*Assumptions!$M$48</f>
        <v>666.66666666666674</v>
      </c>
      <c r="AP135" s="51">
        <f>(Assumptions!$M9/12)+(Assumptions!$M9/12)*Assumptions!$M$48</f>
        <v>666.66666666666674</v>
      </c>
      <c r="AQ135" s="51">
        <f>(Assumptions!$M9/12)+(Assumptions!$M9/12)*Assumptions!$M$48</f>
        <v>666.66666666666674</v>
      </c>
      <c r="AR135" s="51">
        <f>(Assumptions!$M9/12)+(Assumptions!$M9/12)*Assumptions!$N$48</f>
        <v>958.33333333333348</v>
      </c>
      <c r="AS135" s="51">
        <f>(Assumptions!$M9/12)+(Assumptions!$M9/12)*Assumptions!$N$48</f>
        <v>958.33333333333348</v>
      </c>
      <c r="AT135" s="51">
        <f>(Assumptions!$M9/12)+(Assumptions!$M9/12)*Assumptions!$N$48</f>
        <v>958.33333333333348</v>
      </c>
      <c r="AU135" s="51">
        <f>(Assumptions!$M9/12)+(Assumptions!$M9/12)*Assumptions!$N$48</f>
        <v>958.33333333333348</v>
      </c>
      <c r="AV135" s="51">
        <f>(Assumptions!$M9/12)+(Assumptions!$M9/12)*Assumptions!$N$48</f>
        <v>958.33333333333348</v>
      </c>
      <c r="AW135" s="51">
        <f>(Assumptions!$M9/12)+(Assumptions!$M9/12)*Assumptions!$N$48</f>
        <v>958.33333333333348</v>
      </c>
      <c r="AX135" s="51">
        <f>(Assumptions!$M9/12)+(Assumptions!$M9/12)*Assumptions!$N$48</f>
        <v>958.33333333333348</v>
      </c>
      <c r="AY135" s="51">
        <f>(Assumptions!$M9/12)+(Assumptions!$M9/12)*Assumptions!$N$48</f>
        <v>958.33333333333348</v>
      </c>
      <c r="AZ135" s="51">
        <f>(Assumptions!$M9/12)+(Assumptions!$M9/12)*Assumptions!$N$48</f>
        <v>958.33333333333348</v>
      </c>
      <c r="BA135" s="51">
        <f>(Assumptions!$M9/12)+(Assumptions!$M9/12)*Assumptions!$N$48</f>
        <v>958.33333333333348</v>
      </c>
      <c r="BB135" s="51">
        <f>(Assumptions!$M9/12)+(Assumptions!$M9/12)*Assumptions!$N$48</f>
        <v>958.33333333333348</v>
      </c>
      <c r="BC135" s="51">
        <f>(Assumptions!$M9/12)+(Assumptions!$M9/12)*Assumptions!$N$48</f>
        <v>958.33333333333348</v>
      </c>
      <c r="BD135" s="51">
        <f>(Assumptions!$M9/12)+(Assumptions!$M9/12)*Assumptions!$O$48</f>
        <v>1250</v>
      </c>
      <c r="BE135" s="51">
        <f>(Assumptions!$M9/12)+(Assumptions!$M9/12)*Assumptions!$O$48</f>
        <v>1250</v>
      </c>
      <c r="BF135" s="51">
        <f>(Assumptions!$M9/12)+(Assumptions!$M9/12)*Assumptions!$O$48</f>
        <v>1250</v>
      </c>
      <c r="BG135" s="51">
        <f>(Assumptions!$M9/12)+(Assumptions!$M9/12)*Assumptions!$O$48</f>
        <v>1250</v>
      </c>
      <c r="BH135" s="51">
        <f>(Assumptions!$M9/12)+(Assumptions!$M9/12)*Assumptions!$O$48</f>
        <v>1250</v>
      </c>
      <c r="BI135" s="51">
        <f>(Assumptions!$M9/12)+(Assumptions!$M9/12)*Assumptions!$O$48</f>
        <v>1250</v>
      </c>
      <c r="BJ135" s="51">
        <f>(Assumptions!$M9/12)+(Assumptions!$M9/12)*Assumptions!$O$48</f>
        <v>1250</v>
      </c>
      <c r="BK135" s="51">
        <f>(Assumptions!$M9/12)+(Assumptions!$M9/12)*Assumptions!$O$48</f>
        <v>1250</v>
      </c>
      <c r="BL135" s="51">
        <f>(Assumptions!$M9/12)+(Assumptions!$M9/12)*Assumptions!$O$48</f>
        <v>1250</v>
      </c>
      <c r="BM135" s="51">
        <f>(Assumptions!$M9/12)+(Assumptions!$M9/12)*Assumptions!$O$48</f>
        <v>1250</v>
      </c>
      <c r="BN135" s="51">
        <f>(Assumptions!$M9/12)+(Assumptions!$M9/12)*Assumptions!$O$48</f>
        <v>1250</v>
      </c>
      <c r="BO135" s="51">
        <f>(Assumptions!$M9/12)+(Assumptions!$M9/12)*Assumptions!$O$48</f>
        <v>1250</v>
      </c>
    </row>
    <row r="136" spans="1:67" x14ac:dyDescent="0.25">
      <c r="A136" s="213" t="str">
        <f>Assumptions!$J$10</f>
        <v>VP Operations</v>
      </c>
      <c r="B136" s="202" t="b">
        <f>(H136*12)=Assumptions!M10</f>
        <v>1</v>
      </c>
      <c r="D136" s="214"/>
      <c r="E136" s="214"/>
      <c r="F136" s="214"/>
      <c r="G136" s="214"/>
      <c r="H136" s="51">
        <f>(Assumptions!$M10/12)+(Assumptions!$M10/12)*Assumptions!$K$48</f>
        <v>416.66666666666669</v>
      </c>
      <c r="I136" s="51">
        <f>(Assumptions!$M10/12)+(Assumptions!$M10/12)*Assumptions!$K$48</f>
        <v>416.66666666666669</v>
      </c>
      <c r="J136" s="51">
        <f>(Assumptions!$M10/12)+(Assumptions!$M10/12)*Assumptions!$K$48</f>
        <v>416.66666666666669</v>
      </c>
      <c r="K136" s="51">
        <f>(Assumptions!$M10/12)+(Assumptions!$M10/12)*Assumptions!$K$48</f>
        <v>416.66666666666669</v>
      </c>
      <c r="L136" s="51">
        <f>(Assumptions!$M10/12)+(Assumptions!$M10/12)*Assumptions!$K$48</f>
        <v>416.66666666666669</v>
      </c>
      <c r="M136" s="51">
        <f>(Assumptions!$M10/12)+(Assumptions!$M10/12)*Assumptions!$K$48</f>
        <v>416.66666666666669</v>
      </c>
      <c r="N136" s="51">
        <f>(Assumptions!$M10/12)+(Assumptions!$M10/12)*Assumptions!$K$48</f>
        <v>416.66666666666669</v>
      </c>
      <c r="O136" s="51">
        <f>(Assumptions!$M10/12)+(Assumptions!$M10/12)*Assumptions!$K$48</f>
        <v>416.66666666666669</v>
      </c>
      <c r="P136" s="51">
        <f>(Assumptions!$M10/12)+(Assumptions!$M10/12)*Assumptions!$K$48</f>
        <v>416.66666666666669</v>
      </c>
      <c r="Q136" s="51">
        <f>(Assumptions!$M10/12)+(Assumptions!$M10/12)*Assumptions!$K$48</f>
        <v>416.66666666666669</v>
      </c>
      <c r="R136" s="51">
        <f>(Assumptions!$M10/12)+(Assumptions!$M10/12)*Assumptions!$K$48</f>
        <v>416.66666666666669</v>
      </c>
      <c r="S136" s="51">
        <f>(Assumptions!$M10/12)+(Assumptions!$M10/12)*Assumptions!$K$48</f>
        <v>416.66666666666669</v>
      </c>
      <c r="T136" s="51">
        <f>(Assumptions!$M10/12)+(Assumptions!$M10/12)*Assumptions!$L$48</f>
        <v>520.83333333333337</v>
      </c>
      <c r="U136" s="51">
        <f>(Assumptions!$M10/12)+(Assumptions!$M10/12)*Assumptions!$L$48</f>
        <v>520.83333333333337</v>
      </c>
      <c r="V136" s="51">
        <f>(Assumptions!$M10/12)+(Assumptions!$M10/12)*Assumptions!$L$48</f>
        <v>520.83333333333337</v>
      </c>
      <c r="W136" s="51">
        <f>(Assumptions!$M10/12)+(Assumptions!$M10/12)*Assumptions!$L$48</f>
        <v>520.83333333333337</v>
      </c>
      <c r="X136" s="51">
        <f>(Assumptions!$M10/12)+(Assumptions!$M10/12)*Assumptions!$L$48</f>
        <v>520.83333333333337</v>
      </c>
      <c r="Y136" s="51">
        <f>(Assumptions!$M10/12)+(Assumptions!$M10/12)*Assumptions!$L$48</f>
        <v>520.83333333333337</v>
      </c>
      <c r="Z136" s="51">
        <f>(Assumptions!$M10/12)+(Assumptions!$M10/12)*Assumptions!$L$48</f>
        <v>520.83333333333337</v>
      </c>
      <c r="AA136" s="51">
        <f>(Assumptions!$M10/12)+(Assumptions!$M10/12)*Assumptions!$L$48</f>
        <v>520.83333333333337</v>
      </c>
      <c r="AB136" s="51">
        <f>(Assumptions!$M10/12)+(Assumptions!$M10/12)*Assumptions!$L$48</f>
        <v>520.83333333333337</v>
      </c>
      <c r="AC136" s="51">
        <f>(Assumptions!$M10/12)+(Assumptions!$M10/12)*Assumptions!$L$48</f>
        <v>520.83333333333337</v>
      </c>
      <c r="AD136" s="51">
        <f>(Assumptions!$M10/12)+(Assumptions!$M10/12)*Assumptions!$L$48</f>
        <v>520.83333333333337</v>
      </c>
      <c r="AE136" s="51">
        <f>(Assumptions!$M10/12)+(Assumptions!$M10/12)*Assumptions!$L$48</f>
        <v>520.83333333333337</v>
      </c>
      <c r="AF136" s="51">
        <f>(Assumptions!$M10/12)+(Assumptions!$M10/12)*Assumptions!$M$48</f>
        <v>666.66666666666674</v>
      </c>
      <c r="AG136" s="51">
        <f>(Assumptions!$M10/12)+(Assumptions!$M10/12)*Assumptions!$M$48</f>
        <v>666.66666666666674</v>
      </c>
      <c r="AH136" s="51">
        <f>(Assumptions!$M10/12)+(Assumptions!$M10/12)*Assumptions!$M$48</f>
        <v>666.66666666666674</v>
      </c>
      <c r="AI136" s="51">
        <f>(Assumptions!$M10/12)+(Assumptions!$M10/12)*Assumptions!$M$48</f>
        <v>666.66666666666674</v>
      </c>
      <c r="AJ136" s="51">
        <f>(Assumptions!$M10/12)+(Assumptions!$M10/12)*Assumptions!$M$48</f>
        <v>666.66666666666674</v>
      </c>
      <c r="AK136" s="51">
        <f>(Assumptions!$M10/12)+(Assumptions!$M10/12)*Assumptions!$M$48</f>
        <v>666.66666666666674</v>
      </c>
      <c r="AL136" s="51">
        <f>(Assumptions!$M10/12)+(Assumptions!$M10/12)*Assumptions!$M$48</f>
        <v>666.66666666666674</v>
      </c>
      <c r="AM136" s="51">
        <f>(Assumptions!$M10/12)+(Assumptions!$M10/12)*Assumptions!$M$48</f>
        <v>666.66666666666674</v>
      </c>
      <c r="AN136" s="51">
        <f>(Assumptions!$M10/12)+(Assumptions!$M10/12)*Assumptions!$M$48</f>
        <v>666.66666666666674</v>
      </c>
      <c r="AO136" s="51">
        <f>(Assumptions!$M10/12)+(Assumptions!$M10/12)*Assumptions!$M$48</f>
        <v>666.66666666666674</v>
      </c>
      <c r="AP136" s="51">
        <f>(Assumptions!$M10/12)+(Assumptions!$M10/12)*Assumptions!$M$48</f>
        <v>666.66666666666674</v>
      </c>
      <c r="AQ136" s="51">
        <f>(Assumptions!$M10/12)+(Assumptions!$M10/12)*Assumptions!$M$48</f>
        <v>666.66666666666674</v>
      </c>
      <c r="AR136" s="51">
        <f>(Assumptions!$M10/12)+(Assumptions!$M10/12)*Assumptions!$N$48</f>
        <v>958.33333333333348</v>
      </c>
      <c r="AS136" s="51">
        <f>(Assumptions!$M10/12)+(Assumptions!$M10/12)*Assumptions!$N$48</f>
        <v>958.33333333333348</v>
      </c>
      <c r="AT136" s="51">
        <f>(Assumptions!$M10/12)+(Assumptions!$M10/12)*Assumptions!$N$48</f>
        <v>958.33333333333348</v>
      </c>
      <c r="AU136" s="51">
        <f>(Assumptions!$M10/12)+(Assumptions!$M10/12)*Assumptions!$N$48</f>
        <v>958.33333333333348</v>
      </c>
      <c r="AV136" s="51">
        <f>(Assumptions!$M10/12)+(Assumptions!$M10/12)*Assumptions!$N$48</f>
        <v>958.33333333333348</v>
      </c>
      <c r="AW136" s="51">
        <f>(Assumptions!$M10/12)+(Assumptions!$M10/12)*Assumptions!$N$48</f>
        <v>958.33333333333348</v>
      </c>
      <c r="AX136" s="51">
        <f>(Assumptions!$M10/12)+(Assumptions!$M10/12)*Assumptions!$N$48</f>
        <v>958.33333333333348</v>
      </c>
      <c r="AY136" s="51">
        <f>(Assumptions!$M10/12)+(Assumptions!$M10/12)*Assumptions!$N$48</f>
        <v>958.33333333333348</v>
      </c>
      <c r="AZ136" s="51">
        <f>(Assumptions!$M10/12)+(Assumptions!$M10/12)*Assumptions!$N$48</f>
        <v>958.33333333333348</v>
      </c>
      <c r="BA136" s="51">
        <f>(Assumptions!$M10/12)+(Assumptions!$M10/12)*Assumptions!$N$48</f>
        <v>958.33333333333348</v>
      </c>
      <c r="BB136" s="51">
        <f>(Assumptions!$M10/12)+(Assumptions!$M10/12)*Assumptions!$N$48</f>
        <v>958.33333333333348</v>
      </c>
      <c r="BC136" s="51">
        <f>(Assumptions!$M10/12)+(Assumptions!$M10/12)*Assumptions!$N$48</f>
        <v>958.33333333333348</v>
      </c>
      <c r="BD136" s="51">
        <f>(Assumptions!$M10/12)+(Assumptions!$M10/12)*Assumptions!$O$48</f>
        <v>1250</v>
      </c>
      <c r="BE136" s="51">
        <f>(Assumptions!$M10/12)+(Assumptions!$M10/12)*Assumptions!$O$48</f>
        <v>1250</v>
      </c>
      <c r="BF136" s="51">
        <f>(Assumptions!$M10/12)+(Assumptions!$M10/12)*Assumptions!$O$48</f>
        <v>1250</v>
      </c>
      <c r="BG136" s="51">
        <f>(Assumptions!$M10/12)+(Assumptions!$M10/12)*Assumptions!$O$48</f>
        <v>1250</v>
      </c>
      <c r="BH136" s="51">
        <f>(Assumptions!$M10/12)+(Assumptions!$M10/12)*Assumptions!$O$48</f>
        <v>1250</v>
      </c>
      <c r="BI136" s="51">
        <f>(Assumptions!$M10/12)+(Assumptions!$M10/12)*Assumptions!$O$48</f>
        <v>1250</v>
      </c>
      <c r="BJ136" s="51">
        <f>(Assumptions!$M10/12)+(Assumptions!$M10/12)*Assumptions!$O$48</f>
        <v>1250</v>
      </c>
      <c r="BK136" s="51">
        <f>(Assumptions!$M10/12)+(Assumptions!$M10/12)*Assumptions!$O$48</f>
        <v>1250</v>
      </c>
      <c r="BL136" s="51">
        <f>(Assumptions!$M10/12)+(Assumptions!$M10/12)*Assumptions!$O$48</f>
        <v>1250</v>
      </c>
      <c r="BM136" s="51">
        <f>(Assumptions!$M10/12)+(Assumptions!$M10/12)*Assumptions!$O$48</f>
        <v>1250</v>
      </c>
      <c r="BN136" s="51">
        <f>(Assumptions!$M10/12)+(Assumptions!$M10/12)*Assumptions!$O$48</f>
        <v>1250</v>
      </c>
      <c r="BO136" s="51">
        <f>(Assumptions!$M10/12)+(Assumptions!$M10/12)*Assumptions!$O$48</f>
        <v>1250</v>
      </c>
    </row>
    <row r="137" spans="1:67" x14ac:dyDescent="0.25">
      <c r="A137" s="220" t="str">
        <f>Assumptions!$J$11</f>
        <v>Infrastructure and Database</v>
      </c>
      <c r="B137" s="202" t="b">
        <f>(H137*12)=Assumptions!M11</f>
        <v>1</v>
      </c>
      <c r="D137" s="214"/>
      <c r="E137" s="214"/>
      <c r="F137" s="214"/>
      <c r="G137" s="214"/>
      <c r="H137" s="221">
        <f>(Assumptions!$M11/12)+(Assumptions!$M11/12)*Assumptions!$K$45</f>
        <v>416.66666666666669</v>
      </c>
      <c r="I137" s="221">
        <f>(Assumptions!$M11/12)+(Assumptions!$M11/12)*Assumptions!$K$45</f>
        <v>416.66666666666669</v>
      </c>
      <c r="J137" s="221">
        <f>(Assumptions!$M11/12)+(Assumptions!$M11/12)*Assumptions!$K$45</f>
        <v>416.66666666666669</v>
      </c>
      <c r="K137" s="221">
        <f>(Assumptions!$M11/12)+(Assumptions!$M11/12)*Assumptions!$K$45</f>
        <v>416.66666666666669</v>
      </c>
      <c r="L137" s="221">
        <f>(Assumptions!$M11/12)+(Assumptions!$M11/12)*Assumptions!$K$45</f>
        <v>416.66666666666669</v>
      </c>
      <c r="M137" s="221">
        <f>(Assumptions!$M11/12)+(Assumptions!$M11/12)*Assumptions!$K$45</f>
        <v>416.66666666666669</v>
      </c>
      <c r="N137" s="221">
        <f>(Assumptions!$M11/12)+(Assumptions!$M11/12)*Assumptions!$K$45</f>
        <v>416.66666666666669</v>
      </c>
      <c r="O137" s="221">
        <f>(Assumptions!$M11/12)+(Assumptions!$M11/12)*Assumptions!$K$45</f>
        <v>416.66666666666669</v>
      </c>
      <c r="P137" s="221">
        <f>(Assumptions!$M11/12)+(Assumptions!$M11/12)*Assumptions!$K$45</f>
        <v>416.66666666666669</v>
      </c>
      <c r="Q137" s="221">
        <f>(Assumptions!$M11/12)+(Assumptions!$M11/12)*Assumptions!$K$45</f>
        <v>416.66666666666669</v>
      </c>
      <c r="R137" s="221">
        <f>(Assumptions!$M11/12)+(Assumptions!$M11/12)*Assumptions!$K$45</f>
        <v>416.66666666666669</v>
      </c>
      <c r="S137" s="221">
        <f>(Assumptions!$M11/12)+(Assumptions!$M11/12)*Assumptions!$K$45</f>
        <v>416.66666666666669</v>
      </c>
      <c r="T137" s="221">
        <f>(Assumptions!$M11/12)+(Assumptions!$M11/12)*Assumptions!$L$45</f>
        <v>2083.3333333333335</v>
      </c>
      <c r="U137" s="221">
        <f>(Assumptions!$M11/12)+(Assumptions!$M11/12)*Assumptions!$L$45</f>
        <v>2083.3333333333335</v>
      </c>
      <c r="V137" s="221">
        <f>(Assumptions!$M11/12)+(Assumptions!$M11/12)*Assumptions!$L$45</f>
        <v>2083.3333333333335</v>
      </c>
      <c r="W137" s="221">
        <f>(Assumptions!$M11/12)+(Assumptions!$M11/12)*Assumptions!$L$45</f>
        <v>2083.3333333333335</v>
      </c>
      <c r="X137" s="221">
        <f>(Assumptions!$M11/12)+(Assumptions!$M11/12)*Assumptions!$L$45</f>
        <v>2083.3333333333335</v>
      </c>
      <c r="Y137" s="221">
        <f>(Assumptions!$M11/12)+(Assumptions!$M11/12)*Assumptions!$L$45</f>
        <v>2083.3333333333335</v>
      </c>
      <c r="Z137" s="221">
        <f>(Assumptions!$M11/12)+(Assumptions!$M11/12)*Assumptions!$L$45</f>
        <v>2083.3333333333335</v>
      </c>
      <c r="AA137" s="221">
        <f>(Assumptions!$M11/12)+(Assumptions!$M11/12)*Assumptions!$L$45</f>
        <v>2083.3333333333335</v>
      </c>
      <c r="AB137" s="221">
        <f>(Assumptions!$M11/12)+(Assumptions!$M11/12)*Assumptions!$L$45</f>
        <v>2083.3333333333335</v>
      </c>
      <c r="AC137" s="221">
        <f>(Assumptions!$M11/12)+(Assumptions!$M11/12)*Assumptions!$L$45</f>
        <v>2083.3333333333335</v>
      </c>
      <c r="AD137" s="221">
        <f>(Assumptions!$M11/12)+(Assumptions!$M11/12)*Assumptions!$L$45</f>
        <v>2083.3333333333335</v>
      </c>
      <c r="AE137" s="221">
        <f>(Assumptions!$M11/12)+(Assumptions!$M11/12)*Assumptions!$L$45</f>
        <v>2083.3333333333335</v>
      </c>
      <c r="AF137" s="221">
        <f>(Assumptions!$M11/12)+(Assumptions!$M11/12)*Assumptions!$M$45</f>
        <v>4166.666666666667</v>
      </c>
      <c r="AG137" s="221">
        <f>(Assumptions!$M11/12)+(Assumptions!$M11/12)*Assumptions!$M$45</f>
        <v>4166.666666666667</v>
      </c>
      <c r="AH137" s="221">
        <f>(Assumptions!$M11/12)+(Assumptions!$M11/12)*Assumptions!$M$45</f>
        <v>4166.666666666667</v>
      </c>
      <c r="AI137" s="221">
        <f>(Assumptions!$M11/12)+(Assumptions!$M11/12)*Assumptions!$M$45</f>
        <v>4166.666666666667</v>
      </c>
      <c r="AJ137" s="221">
        <f>(Assumptions!$M11/12)+(Assumptions!$M11/12)*Assumptions!$M$45</f>
        <v>4166.666666666667</v>
      </c>
      <c r="AK137" s="221">
        <f>(Assumptions!$M11/12)+(Assumptions!$M11/12)*Assumptions!$M$45</f>
        <v>4166.666666666667</v>
      </c>
      <c r="AL137" s="221">
        <f>(Assumptions!$M11/12)+(Assumptions!$M11/12)*Assumptions!$M$45</f>
        <v>4166.666666666667</v>
      </c>
      <c r="AM137" s="221">
        <f>(Assumptions!$M11/12)+(Assumptions!$M11/12)*Assumptions!$M$45</f>
        <v>4166.666666666667</v>
      </c>
      <c r="AN137" s="221">
        <f>(Assumptions!$M11/12)+(Assumptions!$M11/12)*Assumptions!$M$45</f>
        <v>4166.666666666667</v>
      </c>
      <c r="AO137" s="221">
        <f>(Assumptions!$M11/12)+(Assumptions!$M11/12)*Assumptions!$M$45</f>
        <v>4166.666666666667</v>
      </c>
      <c r="AP137" s="221">
        <f>(Assumptions!$M11/12)+(Assumptions!$M11/12)*Assumptions!$M$45</f>
        <v>4166.666666666667</v>
      </c>
      <c r="AQ137" s="221">
        <f>(Assumptions!$M11/12)+(Assumptions!$M11/12)*Assumptions!$M$45</f>
        <v>4166.666666666667</v>
      </c>
      <c r="AR137" s="221">
        <f>(Assumptions!$M11/12)+(Assumptions!$M11/12)*Assumptions!$N$45</f>
        <v>6666.666666666667</v>
      </c>
      <c r="AS137" s="221">
        <f>(Assumptions!$M11/12)+(Assumptions!$M11/12)*Assumptions!$N$45</f>
        <v>6666.666666666667</v>
      </c>
      <c r="AT137" s="221">
        <f>(Assumptions!$M11/12)+(Assumptions!$M11/12)*Assumptions!$N$45</f>
        <v>6666.666666666667</v>
      </c>
      <c r="AU137" s="221">
        <f>(Assumptions!$M11/12)+(Assumptions!$M11/12)*Assumptions!$N$45</f>
        <v>6666.666666666667</v>
      </c>
      <c r="AV137" s="221">
        <f>(Assumptions!$M11/12)+(Assumptions!$M11/12)*Assumptions!$N$45</f>
        <v>6666.666666666667</v>
      </c>
      <c r="AW137" s="221">
        <f>(Assumptions!$M11/12)+(Assumptions!$M11/12)*Assumptions!$N$45</f>
        <v>6666.666666666667</v>
      </c>
      <c r="AX137" s="221">
        <f>(Assumptions!$M11/12)+(Assumptions!$M11/12)*Assumptions!$N$45</f>
        <v>6666.666666666667</v>
      </c>
      <c r="AY137" s="221">
        <f>(Assumptions!$M11/12)+(Assumptions!$M11/12)*Assumptions!$N$45</f>
        <v>6666.666666666667</v>
      </c>
      <c r="AZ137" s="221">
        <f>(Assumptions!$M11/12)+(Assumptions!$M11/12)*Assumptions!$N$45</f>
        <v>6666.666666666667</v>
      </c>
      <c r="BA137" s="221">
        <f>(Assumptions!$M11/12)+(Assumptions!$M11/12)*Assumptions!$N$45</f>
        <v>6666.666666666667</v>
      </c>
      <c r="BB137" s="221">
        <f>(Assumptions!$M11/12)+(Assumptions!$M11/12)*Assumptions!$N$45</f>
        <v>6666.666666666667</v>
      </c>
      <c r="BC137" s="221">
        <f>(Assumptions!$M11/12)+(Assumptions!$M11/12)*Assumptions!$N$45</f>
        <v>6666.666666666667</v>
      </c>
      <c r="BD137" s="221">
        <f>(Assumptions!$M11/12)+(Assumptions!$M11/12)*Assumptions!$O$45</f>
        <v>9583.3333333333339</v>
      </c>
      <c r="BE137" s="221">
        <f>(Assumptions!$M11/12)+(Assumptions!$M11/12)*Assumptions!$O$45</f>
        <v>9583.3333333333339</v>
      </c>
      <c r="BF137" s="221">
        <f>(Assumptions!$M11/12)+(Assumptions!$M11/12)*Assumptions!$O$45</f>
        <v>9583.3333333333339</v>
      </c>
      <c r="BG137" s="221">
        <f>(Assumptions!$M11/12)+(Assumptions!$M11/12)*Assumptions!$O$45</f>
        <v>9583.3333333333339</v>
      </c>
      <c r="BH137" s="221">
        <f>(Assumptions!$M11/12)+(Assumptions!$M11/12)*Assumptions!$O$45</f>
        <v>9583.3333333333339</v>
      </c>
      <c r="BI137" s="221">
        <f>(Assumptions!$M11/12)+(Assumptions!$M11/12)*Assumptions!$O$45</f>
        <v>9583.3333333333339</v>
      </c>
      <c r="BJ137" s="221">
        <f>(Assumptions!$M11/12)+(Assumptions!$M11/12)*Assumptions!$O$45</f>
        <v>9583.3333333333339</v>
      </c>
      <c r="BK137" s="221">
        <f>(Assumptions!$M11/12)+(Assumptions!$M11/12)*Assumptions!$O$45</f>
        <v>9583.3333333333339</v>
      </c>
      <c r="BL137" s="221">
        <f>(Assumptions!$M11/12)+(Assumptions!$M11/12)*Assumptions!$O$45</f>
        <v>9583.3333333333339</v>
      </c>
      <c r="BM137" s="221">
        <f>(Assumptions!$M11/12)+(Assumptions!$M11/12)*Assumptions!$O$45</f>
        <v>9583.3333333333339</v>
      </c>
      <c r="BN137" s="221">
        <f>(Assumptions!$M11/12)+(Assumptions!$M11/12)*Assumptions!$O$45</f>
        <v>9583.3333333333339</v>
      </c>
      <c r="BO137" s="221">
        <f>(Assumptions!$M11/12)+(Assumptions!$M11/12)*Assumptions!$O$45</f>
        <v>9583.3333333333339</v>
      </c>
    </row>
    <row r="138" spans="1:67" x14ac:dyDescent="0.25">
      <c r="A138" s="213" t="str">
        <f>Assumptions!$J$12</f>
        <v>General Administration</v>
      </c>
      <c r="B138" s="202" t="b">
        <f>(H138*12)=Assumptions!M12</f>
        <v>1</v>
      </c>
      <c r="D138" s="214"/>
      <c r="E138" s="214"/>
      <c r="F138" s="214"/>
      <c r="G138" s="214"/>
      <c r="H138" s="51">
        <f>(Assumptions!$M12/12)+(Assumptions!$M12/12)*Assumptions!$K$48</f>
        <v>416.66666666666669</v>
      </c>
      <c r="I138" s="51">
        <f>(Assumptions!$M12/12)+(Assumptions!$M12/12)*Assumptions!$K$48</f>
        <v>416.66666666666669</v>
      </c>
      <c r="J138" s="51">
        <f>(Assumptions!$M12/12)+(Assumptions!$M12/12)*Assumptions!$K$48</f>
        <v>416.66666666666669</v>
      </c>
      <c r="K138" s="51">
        <f>(Assumptions!$M12/12)+(Assumptions!$M12/12)*Assumptions!$K$48</f>
        <v>416.66666666666669</v>
      </c>
      <c r="L138" s="51">
        <f>(Assumptions!$M12/12)+(Assumptions!$M12/12)*Assumptions!$K$48</f>
        <v>416.66666666666669</v>
      </c>
      <c r="M138" s="51">
        <f>(Assumptions!$M12/12)+(Assumptions!$M12/12)*Assumptions!$K$48</f>
        <v>416.66666666666669</v>
      </c>
      <c r="N138" s="51">
        <f>(Assumptions!$M12/12)+(Assumptions!$M12/12)*Assumptions!$K$48</f>
        <v>416.66666666666669</v>
      </c>
      <c r="O138" s="51">
        <f>(Assumptions!$M12/12)+(Assumptions!$M12/12)*Assumptions!$K$48</f>
        <v>416.66666666666669</v>
      </c>
      <c r="P138" s="51">
        <f>(Assumptions!$M12/12)+(Assumptions!$M12/12)*Assumptions!$K$48</f>
        <v>416.66666666666669</v>
      </c>
      <c r="Q138" s="51">
        <f>(Assumptions!$M12/12)+(Assumptions!$M12/12)*Assumptions!$K$48</f>
        <v>416.66666666666669</v>
      </c>
      <c r="R138" s="51">
        <f>(Assumptions!$M12/12)+(Assumptions!$M12/12)*Assumptions!$K$48</f>
        <v>416.66666666666669</v>
      </c>
      <c r="S138" s="51">
        <f>(Assumptions!$M12/12)+(Assumptions!$M12/12)*Assumptions!$K$48</f>
        <v>416.66666666666669</v>
      </c>
      <c r="T138" s="51">
        <f>(Assumptions!$M12/12)+(Assumptions!$M12/12)*Assumptions!$L$48</f>
        <v>520.83333333333337</v>
      </c>
      <c r="U138" s="51">
        <f>(Assumptions!$M12/12)+(Assumptions!$M12/12)*Assumptions!$L$48</f>
        <v>520.83333333333337</v>
      </c>
      <c r="V138" s="51">
        <f>(Assumptions!$M12/12)+(Assumptions!$M12/12)*Assumptions!$L$48</f>
        <v>520.83333333333337</v>
      </c>
      <c r="W138" s="51">
        <f>(Assumptions!$M12/12)+(Assumptions!$M12/12)*Assumptions!$L$48</f>
        <v>520.83333333333337</v>
      </c>
      <c r="X138" s="51">
        <f>(Assumptions!$M12/12)+(Assumptions!$M12/12)*Assumptions!$L$48</f>
        <v>520.83333333333337</v>
      </c>
      <c r="Y138" s="51">
        <f>(Assumptions!$M12/12)+(Assumptions!$M12/12)*Assumptions!$L$48</f>
        <v>520.83333333333337</v>
      </c>
      <c r="Z138" s="51">
        <f>(Assumptions!$M12/12)+(Assumptions!$M12/12)*Assumptions!$L$48</f>
        <v>520.83333333333337</v>
      </c>
      <c r="AA138" s="51">
        <f>(Assumptions!$M12/12)+(Assumptions!$M12/12)*Assumptions!$L$48</f>
        <v>520.83333333333337</v>
      </c>
      <c r="AB138" s="51">
        <f>(Assumptions!$M12/12)+(Assumptions!$M12/12)*Assumptions!$L$48</f>
        <v>520.83333333333337</v>
      </c>
      <c r="AC138" s="51">
        <f>(Assumptions!$M12/12)+(Assumptions!$M12/12)*Assumptions!$L$48</f>
        <v>520.83333333333337</v>
      </c>
      <c r="AD138" s="51">
        <f>(Assumptions!$M12/12)+(Assumptions!$M12/12)*Assumptions!$L$48</f>
        <v>520.83333333333337</v>
      </c>
      <c r="AE138" s="51">
        <f>(Assumptions!$M12/12)+(Assumptions!$M12/12)*Assumptions!$L$48</f>
        <v>520.83333333333337</v>
      </c>
      <c r="AF138" s="51">
        <f>(Assumptions!$M12/12)+(Assumptions!$M12/12)*Assumptions!$M$48</f>
        <v>666.66666666666674</v>
      </c>
      <c r="AG138" s="51">
        <f>(Assumptions!$M12/12)+(Assumptions!$M12/12)*Assumptions!$M$48</f>
        <v>666.66666666666674</v>
      </c>
      <c r="AH138" s="51">
        <f>(Assumptions!$M12/12)+(Assumptions!$M12/12)*Assumptions!$M$48</f>
        <v>666.66666666666674</v>
      </c>
      <c r="AI138" s="51">
        <f>(Assumptions!$M12/12)+(Assumptions!$M12/12)*Assumptions!$M$48</f>
        <v>666.66666666666674</v>
      </c>
      <c r="AJ138" s="51">
        <f>(Assumptions!$M12/12)+(Assumptions!$M12/12)*Assumptions!$M$48</f>
        <v>666.66666666666674</v>
      </c>
      <c r="AK138" s="51">
        <f>(Assumptions!$M12/12)+(Assumptions!$M12/12)*Assumptions!$M$48</f>
        <v>666.66666666666674</v>
      </c>
      <c r="AL138" s="51">
        <f>(Assumptions!$M12/12)+(Assumptions!$M12/12)*Assumptions!$M$48</f>
        <v>666.66666666666674</v>
      </c>
      <c r="AM138" s="51">
        <f>(Assumptions!$M12/12)+(Assumptions!$M12/12)*Assumptions!$M$48</f>
        <v>666.66666666666674</v>
      </c>
      <c r="AN138" s="51">
        <f>(Assumptions!$M12/12)+(Assumptions!$M12/12)*Assumptions!$M$48</f>
        <v>666.66666666666674</v>
      </c>
      <c r="AO138" s="51">
        <f>(Assumptions!$M12/12)+(Assumptions!$M12/12)*Assumptions!$M$48</f>
        <v>666.66666666666674</v>
      </c>
      <c r="AP138" s="51">
        <f>(Assumptions!$M12/12)+(Assumptions!$M12/12)*Assumptions!$M$48</f>
        <v>666.66666666666674</v>
      </c>
      <c r="AQ138" s="51">
        <f>(Assumptions!$M12/12)+(Assumptions!$M12/12)*Assumptions!$M$48</f>
        <v>666.66666666666674</v>
      </c>
      <c r="AR138" s="51">
        <f>(Assumptions!$M12/12)+(Assumptions!$M12/12)*Assumptions!$N$45</f>
        <v>6666.666666666667</v>
      </c>
      <c r="AS138" s="51">
        <f>(Assumptions!$M12/12)+(Assumptions!$M12/12)*Assumptions!$N$45</f>
        <v>6666.666666666667</v>
      </c>
      <c r="AT138" s="51">
        <f>(Assumptions!$M12/12)+(Assumptions!$M12/12)*Assumptions!$N$45</f>
        <v>6666.666666666667</v>
      </c>
      <c r="AU138" s="51">
        <f>(Assumptions!$M12/12)+(Assumptions!$M12/12)*Assumptions!$N$45</f>
        <v>6666.666666666667</v>
      </c>
      <c r="AV138" s="51">
        <f>(Assumptions!$M12/12)+(Assumptions!$M12/12)*Assumptions!$N$45</f>
        <v>6666.666666666667</v>
      </c>
      <c r="AW138" s="51">
        <f>(Assumptions!$M12/12)+(Assumptions!$M12/12)*Assumptions!$N$45</f>
        <v>6666.666666666667</v>
      </c>
      <c r="AX138" s="51">
        <f>(Assumptions!$M12/12)+(Assumptions!$M12/12)*Assumptions!$N$45</f>
        <v>6666.666666666667</v>
      </c>
      <c r="AY138" s="51">
        <f>(Assumptions!$M12/12)+(Assumptions!$M12/12)*Assumptions!$N$45</f>
        <v>6666.666666666667</v>
      </c>
      <c r="AZ138" s="51">
        <f>(Assumptions!$M12/12)+(Assumptions!$M12/12)*Assumptions!$N$45</f>
        <v>6666.666666666667</v>
      </c>
      <c r="BA138" s="51">
        <f>(Assumptions!$M12/12)+(Assumptions!$M12/12)*Assumptions!$N$45</f>
        <v>6666.666666666667</v>
      </c>
      <c r="BB138" s="51">
        <f>(Assumptions!$M12/12)+(Assumptions!$M12/12)*Assumptions!$N$45</f>
        <v>6666.666666666667</v>
      </c>
      <c r="BC138" s="51">
        <f>(Assumptions!$M12/12)+(Assumptions!$M12/12)*Assumptions!$N$45</f>
        <v>6666.666666666667</v>
      </c>
      <c r="BD138" s="51">
        <f>(Assumptions!$M12/12)+(Assumptions!$M12/12)*Assumptions!$O$48</f>
        <v>1250</v>
      </c>
      <c r="BE138" s="51">
        <f>(Assumptions!$M12/12)+(Assumptions!$M12/12)*Assumptions!$O$48</f>
        <v>1250</v>
      </c>
      <c r="BF138" s="51">
        <f>(Assumptions!$M12/12)+(Assumptions!$M12/12)*Assumptions!$O$48</f>
        <v>1250</v>
      </c>
      <c r="BG138" s="51">
        <f>(Assumptions!$M12/12)+(Assumptions!$M12/12)*Assumptions!$O$48</f>
        <v>1250</v>
      </c>
      <c r="BH138" s="51">
        <f>(Assumptions!$M12/12)+(Assumptions!$M12/12)*Assumptions!$O$48</f>
        <v>1250</v>
      </c>
      <c r="BI138" s="51">
        <f>(Assumptions!$M12/12)+(Assumptions!$M12/12)*Assumptions!$O$48</f>
        <v>1250</v>
      </c>
      <c r="BJ138" s="51">
        <f>(Assumptions!$M12/12)+(Assumptions!$M12/12)*Assumptions!$O$48</f>
        <v>1250</v>
      </c>
      <c r="BK138" s="51">
        <f>(Assumptions!$M12/12)+(Assumptions!$M12/12)*Assumptions!$O$48</f>
        <v>1250</v>
      </c>
      <c r="BL138" s="51">
        <f>(Assumptions!$M12/12)+(Assumptions!$M12/12)*Assumptions!$O$48</f>
        <v>1250</v>
      </c>
      <c r="BM138" s="51">
        <f>(Assumptions!$M12/12)+(Assumptions!$M12/12)*Assumptions!$O$48</f>
        <v>1250</v>
      </c>
      <c r="BN138" s="51">
        <f>(Assumptions!$M12/12)+(Assumptions!$M12/12)*Assumptions!$O$48</f>
        <v>1250</v>
      </c>
      <c r="BO138" s="51">
        <f>(Assumptions!$M12/12)+(Assumptions!$M12/12)*Assumptions!$O$48</f>
        <v>1250</v>
      </c>
    </row>
    <row r="139" spans="1:67" x14ac:dyDescent="0.25">
      <c r="A139" s="220" t="str">
        <f>Assumptions!$J$13</f>
        <v>Customer Support</v>
      </c>
      <c r="B139" s="202" t="b">
        <f>(H139*12)=Assumptions!M13</f>
        <v>1</v>
      </c>
      <c r="D139" s="214"/>
      <c r="E139" s="214"/>
      <c r="F139" s="214"/>
      <c r="G139" s="214"/>
      <c r="H139" s="221">
        <f>(Assumptions!$M13/12)+(Assumptions!$M13/12)*Assumptions!$K$45</f>
        <v>416.66666666666669</v>
      </c>
      <c r="I139" s="221">
        <f>(Assumptions!$M13/12)+(Assumptions!$M13/12)*Assumptions!$K$45</f>
        <v>416.66666666666669</v>
      </c>
      <c r="J139" s="221">
        <f>(Assumptions!$M13/12)+(Assumptions!$M13/12)*Assumptions!$K$45</f>
        <v>416.66666666666669</v>
      </c>
      <c r="K139" s="221">
        <f>(Assumptions!$M13/12)+(Assumptions!$M13/12)*Assumptions!$K$45</f>
        <v>416.66666666666669</v>
      </c>
      <c r="L139" s="221">
        <f>(Assumptions!$M13/12)+(Assumptions!$M13/12)*Assumptions!$K$45</f>
        <v>416.66666666666669</v>
      </c>
      <c r="M139" s="221">
        <f>(Assumptions!$M13/12)+(Assumptions!$M13/12)*Assumptions!$K$45</f>
        <v>416.66666666666669</v>
      </c>
      <c r="N139" s="221">
        <f>(Assumptions!$M13/12)+(Assumptions!$M13/12)*Assumptions!$K$45</f>
        <v>416.66666666666669</v>
      </c>
      <c r="O139" s="221">
        <f>(Assumptions!$M13/12)+(Assumptions!$M13/12)*Assumptions!$K$45</f>
        <v>416.66666666666669</v>
      </c>
      <c r="P139" s="221">
        <f>(Assumptions!$M13/12)+(Assumptions!$M13/12)*Assumptions!$K$45</f>
        <v>416.66666666666669</v>
      </c>
      <c r="Q139" s="221">
        <f>(Assumptions!$M13/12)+(Assumptions!$M13/12)*Assumptions!$K$45</f>
        <v>416.66666666666669</v>
      </c>
      <c r="R139" s="221">
        <f>(Assumptions!$M13/12)+(Assumptions!$M13/12)*Assumptions!$K$45</f>
        <v>416.66666666666669</v>
      </c>
      <c r="S139" s="221">
        <f>(Assumptions!$M13/12)+(Assumptions!$M13/12)*Assumptions!$K$45</f>
        <v>416.66666666666669</v>
      </c>
      <c r="T139" s="221">
        <f>(Assumptions!$M13/12)+(Assumptions!$M13/12)*Assumptions!$L$45</f>
        <v>2083.3333333333335</v>
      </c>
      <c r="U139" s="221">
        <f>(Assumptions!$M13/12)+(Assumptions!$M13/12)*Assumptions!$L$45</f>
        <v>2083.3333333333335</v>
      </c>
      <c r="V139" s="221">
        <f>(Assumptions!$M13/12)+(Assumptions!$M13/12)*Assumptions!$L$45</f>
        <v>2083.3333333333335</v>
      </c>
      <c r="W139" s="221">
        <f>(Assumptions!$M13/12)+(Assumptions!$M13/12)*Assumptions!$L$45</f>
        <v>2083.3333333333335</v>
      </c>
      <c r="X139" s="221">
        <f>(Assumptions!$M13/12)+(Assumptions!$M13/12)*Assumptions!$L$45</f>
        <v>2083.3333333333335</v>
      </c>
      <c r="Y139" s="221">
        <f>(Assumptions!$M13/12)+(Assumptions!$M13/12)*Assumptions!$L$45</f>
        <v>2083.3333333333335</v>
      </c>
      <c r="Z139" s="221">
        <f>(Assumptions!$M13/12)+(Assumptions!$M13/12)*Assumptions!$L$45</f>
        <v>2083.3333333333335</v>
      </c>
      <c r="AA139" s="221">
        <f>(Assumptions!$M13/12)+(Assumptions!$M13/12)*Assumptions!$L$45</f>
        <v>2083.3333333333335</v>
      </c>
      <c r="AB139" s="221">
        <f>(Assumptions!$M13/12)+(Assumptions!$M13/12)*Assumptions!$L$45</f>
        <v>2083.3333333333335</v>
      </c>
      <c r="AC139" s="221">
        <f>(Assumptions!$M13/12)+(Assumptions!$M13/12)*Assumptions!$L$45</f>
        <v>2083.3333333333335</v>
      </c>
      <c r="AD139" s="221">
        <f>(Assumptions!$M13/12)+(Assumptions!$M13/12)*Assumptions!$L$45</f>
        <v>2083.3333333333335</v>
      </c>
      <c r="AE139" s="221">
        <f>(Assumptions!$M13/12)+(Assumptions!$M13/12)*Assumptions!$L$45</f>
        <v>2083.3333333333335</v>
      </c>
      <c r="AF139" s="221">
        <f>(Assumptions!$M13/12)+(Assumptions!$M13/12)*Assumptions!$M$45</f>
        <v>4166.666666666667</v>
      </c>
      <c r="AG139" s="221">
        <f>(Assumptions!$M13/12)+(Assumptions!$M13/12)*Assumptions!$M$45</f>
        <v>4166.666666666667</v>
      </c>
      <c r="AH139" s="221">
        <f>(Assumptions!$M13/12)+(Assumptions!$M13/12)*Assumptions!$M$45</f>
        <v>4166.666666666667</v>
      </c>
      <c r="AI139" s="221">
        <f>(Assumptions!$M13/12)+(Assumptions!$M13/12)*Assumptions!$M$45</f>
        <v>4166.666666666667</v>
      </c>
      <c r="AJ139" s="221">
        <f>(Assumptions!$M13/12)+(Assumptions!$M13/12)*Assumptions!$M$45</f>
        <v>4166.666666666667</v>
      </c>
      <c r="AK139" s="221">
        <f>(Assumptions!$M13/12)+(Assumptions!$M13/12)*Assumptions!$M$45</f>
        <v>4166.666666666667</v>
      </c>
      <c r="AL139" s="221">
        <f>(Assumptions!$M13/12)+(Assumptions!$M13/12)*Assumptions!$M$45</f>
        <v>4166.666666666667</v>
      </c>
      <c r="AM139" s="221">
        <f>(Assumptions!$M13/12)+(Assumptions!$M13/12)*Assumptions!$M$45</f>
        <v>4166.666666666667</v>
      </c>
      <c r="AN139" s="221">
        <f>(Assumptions!$M13/12)+(Assumptions!$M13/12)*Assumptions!$M$45</f>
        <v>4166.666666666667</v>
      </c>
      <c r="AO139" s="221">
        <f>(Assumptions!$M13/12)+(Assumptions!$M13/12)*Assumptions!$M$45</f>
        <v>4166.666666666667</v>
      </c>
      <c r="AP139" s="221">
        <f>(Assumptions!$M13/12)+(Assumptions!$M13/12)*Assumptions!$M$45</f>
        <v>4166.666666666667</v>
      </c>
      <c r="AQ139" s="221">
        <f>(Assumptions!$M13/12)+(Assumptions!$M13/12)*Assumptions!$M$45</f>
        <v>4166.666666666667</v>
      </c>
      <c r="AR139" s="221">
        <f>(Assumptions!$M13/12)+(Assumptions!$M13/12)*Assumptions!$N$48</f>
        <v>958.33333333333348</v>
      </c>
      <c r="AS139" s="221">
        <f>(Assumptions!$M13/12)+(Assumptions!$M13/12)*Assumptions!$N$48</f>
        <v>958.33333333333348</v>
      </c>
      <c r="AT139" s="221">
        <f>(Assumptions!$M13/12)+(Assumptions!$M13/12)*Assumptions!$N$48</f>
        <v>958.33333333333348</v>
      </c>
      <c r="AU139" s="221">
        <f>(Assumptions!$M13/12)+(Assumptions!$M13/12)*Assumptions!$N$48</f>
        <v>958.33333333333348</v>
      </c>
      <c r="AV139" s="221">
        <f>(Assumptions!$M13/12)+(Assumptions!$M13/12)*Assumptions!$N$48</f>
        <v>958.33333333333348</v>
      </c>
      <c r="AW139" s="221">
        <f>(Assumptions!$M13/12)+(Assumptions!$M13/12)*Assumptions!$N$48</f>
        <v>958.33333333333348</v>
      </c>
      <c r="AX139" s="221">
        <f>(Assumptions!$M13/12)+(Assumptions!$M13/12)*Assumptions!$N$48</f>
        <v>958.33333333333348</v>
      </c>
      <c r="AY139" s="221">
        <f>(Assumptions!$M13/12)+(Assumptions!$M13/12)*Assumptions!$N$48</f>
        <v>958.33333333333348</v>
      </c>
      <c r="AZ139" s="221">
        <f>(Assumptions!$M13/12)+(Assumptions!$M13/12)*Assumptions!$N$48</f>
        <v>958.33333333333348</v>
      </c>
      <c r="BA139" s="221">
        <f>(Assumptions!$M13/12)+(Assumptions!$M13/12)*Assumptions!$N$48</f>
        <v>958.33333333333348</v>
      </c>
      <c r="BB139" s="221">
        <f>(Assumptions!$M13/12)+(Assumptions!$M13/12)*Assumptions!$N$48</f>
        <v>958.33333333333348</v>
      </c>
      <c r="BC139" s="221">
        <f>(Assumptions!$M13/12)+(Assumptions!$M13/12)*Assumptions!$N$48</f>
        <v>958.33333333333348</v>
      </c>
      <c r="BD139" s="221">
        <f>(Assumptions!$M13/12)+(Assumptions!$M13/12)*Assumptions!$O$45</f>
        <v>9583.3333333333339</v>
      </c>
      <c r="BE139" s="221">
        <f>(Assumptions!$M13/12)+(Assumptions!$M13/12)*Assumptions!$O$45</f>
        <v>9583.3333333333339</v>
      </c>
      <c r="BF139" s="221">
        <f>(Assumptions!$M13/12)+(Assumptions!$M13/12)*Assumptions!$O$45</f>
        <v>9583.3333333333339</v>
      </c>
      <c r="BG139" s="221">
        <f>(Assumptions!$M13/12)+(Assumptions!$M13/12)*Assumptions!$O$45</f>
        <v>9583.3333333333339</v>
      </c>
      <c r="BH139" s="221">
        <f>(Assumptions!$M13/12)+(Assumptions!$M13/12)*Assumptions!$O$45</f>
        <v>9583.3333333333339</v>
      </c>
      <c r="BI139" s="221">
        <f>(Assumptions!$M13/12)+(Assumptions!$M13/12)*Assumptions!$O$45</f>
        <v>9583.3333333333339</v>
      </c>
      <c r="BJ139" s="221">
        <f>(Assumptions!$M13/12)+(Assumptions!$M13/12)*Assumptions!$O$45</f>
        <v>9583.3333333333339</v>
      </c>
      <c r="BK139" s="221">
        <f>(Assumptions!$M13/12)+(Assumptions!$M13/12)*Assumptions!$O$45</f>
        <v>9583.3333333333339</v>
      </c>
      <c r="BL139" s="221">
        <f>(Assumptions!$M13/12)+(Assumptions!$M13/12)*Assumptions!$O$45</f>
        <v>9583.3333333333339</v>
      </c>
      <c r="BM139" s="221">
        <f>(Assumptions!$M13/12)+(Assumptions!$M13/12)*Assumptions!$O$45</f>
        <v>9583.3333333333339</v>
      </c>
      <c r="BN139" s="221">
        <f>(Assumptions!$M13/12)+(Assumptions!$M13/12)*Assumptions!$O$45</f>
        <v>9583.3333333333339</v>
      </c>
      <c r="BO139" s="221">
        <f>(Assumptions!$M13/12)+(Assumptions!$M13/12)*Assumptions!$O$45</f>
        <v>9583.3333333333339</v>
      </c>
    </row>
    <row r="140" spans="1:67" s="25" customFormat="1" x14ac:dyDescent="0.25">
      <c r="A140" s="25" t="s">
        <v>243</v>
      </c>
      <c r="B140" s="202">
        <f>MAX(D140:AQ140)</f>
        <v>10333.333333333334</v>
      </c>
      <c r="D140" s="25">
        <f>SUM(D135:D139)</f>
        <v>0</v>
      </c>
      <c r="E140" s="25">
        <f t="shared" ref="E140:BO140" si="35">SUM(E135:E139)</f>
        <v>0</v>
      </c>
      <c r="F140" s="25">
        <f t="shared" si="35"/>
        <v>0</v>
      </c>
      <c r="G140" s="25">
        <f t="shared" si="35"/>
        <v>0</v>
      </c>
      <c r="H140" s="25">
        <f t="shared" si="35"/>
        <v>2083.3333333333335</v>
      </c>
      <c r="I140" s="25">
        <f t="shared" si="35"/>
        <v>2083.3333333333335</v>
      </c>
      <c r="J140" s="25">
        <f t="shared" si="35"/>
        <v>2083.3333333333335</v>
      </c>
      <c r="K140" s="25">
        <f t="shared" si="35"/>
        <v>2083.3333333333335</v>
      </c>
      <c r="L140" s="25">
        <f t="shared" si="35"/>
        <v>2083.3333333333335</v>
      </c>
      <c r="M140" s="25">
        <f t="shared" si="35"/>
        <v>2083.3333333333335</v>
      </c>
      <c r="N140" s="25">
        <f t="shared" si="35"/>
        <v>2083.3333333333335</v>
      </c>
      <c r="O140" s="25">
        <f t="shared" si="35"/>
        <v>2083.3333333333335</v>
      </c>
      <c r="P140" s="25">
        <f t="shared" si="35"/>
        <v>2083.3333333333335</v>
      </c>
      <c r="Q140" s="25">
        <f t="shared" si="35"/>
        <v>2083.3333333333335</v>
      </c>
      <c r="R140" s="25">
        <f t="shared" si="35"/>
        <v>2083.3333333333335</v>
      </c>
      <c r="S140" s="25">
        <f t="shared" si="35"/>
        <v>2083.3333333333335</v>
      </c>
      <c r="T140" s="25">
        <f t="shared" si="35"/>
        <v>5729.166666666667</v>
      </c>
      <c r="U140" s="25">
        <f t="shared" si="35"/>
        <v>5729.166666666667</v>
      </c>
      <c r="V140" s="25">
        <f t="shared" si="35"/>
        <v>5729.166666666667</v>
      </c>
      <c r="W140" s="25">
        <f t="shared" si="35"/>
        <v>5729.166666666667</v>
      </c>
      <c r="X140" s="25">
        <f t="shared" si="35"/>
        <v>5729.166666666667</v>
      </c>
      <c r="Y140" s="25">
        <f t="shared" si="35"/>
        <v>5729.166666666667</v>
      </c>
      <c r="Z140" s="25">
        <f t="shared" si="35"/>
        <v>5729.166666666667</v>
      </c>
      <c r="AA140" s="25">
        <f t="shared" si="35"/>
        <v>5729.166666666667</v>
      </c>
      <c r="AB140" s="25">
        <f t="shared" si="35"/>
        <v>5729.166666666667</v>
      </c>
      <c r="AC140" s="25">
        <f t="shared" si="35"/>
        <v>5729.166666666667</v>
      </c>
      <c r="AD140" s="25">
        <f t="shared" si="35"/>
        <v>5729.166666666667</v>
      </c>
      <c r="AE140" s="25">
        <f t="shared" si="35"/>
        <v>5729.166666666667</v>
      </c>
      <c r="AF140" s="25">
        <f t="shared" si="35"/>
        <v>10333.333333333334</v>
      </c>
      <c r="AG140" s="25">
        <f t="shared" si="35"/>
        <v>10333.333333333334</v>
      </c>
      <c r="AH140" s="25">
        <f t="shared" si="35"/>
        <v>10333.333333333334</v>
      </c>
      <c r="AI140" s="25">
        <f t="shared" si="35"/>
        <v>10333.333333333334</v>
      </c>
      <c r="AJ140" s="25">
        <f t="shared" si="35"/>
        <v>10333.333333333334</v>
      </c>
      <c r="AK140" s="25">
        <f t="shared" si="35"/>
        <v>10333.333333333334</v>
      </c>
      <c r="AL140" s="25">
        <f t="shared" si="35"/>
        <v>10333.333333333334</v>
      </c>
      <c r="AM140" s="25">
        <f t="shared" si="35"/>
        <v>10333.333333333334</v>
      </c>
      <c r="AN140" s="25">
        <f t="shared" si="35"/>
        <v>10333.333333333334</v>
      </c>
      <c r="AO140" s="25">
        <f t="shared" si="35"/>
        <v>10333.333333333334</v>
      </c>
      <c r="AP140" s="25">
        <f t="shared" si="35"/>
        <v>10333.333333333334</v>
      </c>
      <c r="AQ140" s="25">
        <f t="shared" si="35"/>
        <v>10333.333333333334</v>
      </c>
      <c r="AR140" s="25">
        <f t="shared" si="35"/>
        <v>16208.333333333334</v>
      </c>
      <c r="AS140" s="25">
        <f t="shared" si="35"/>
        <v>16208.333333333334</v>
      </c>
      <c r="AT140" s="25">
        <f t="shared" si="35"/>
        <v>16208.333333333334</v>
      </c>
      <c r="AU140" s="25">
        <f t="shared" si="35"/>
        <v>16208.333333333334</v>
      </c>
      <c r="AV140" s="25">
        <f t="shared" si="35"/>
        <v>16208.333333333334</v>
      </c>
      <c r="AW140" s="25">
        <f t="shared" si="35"/>
        <v>16208.333333333334</v>
      </c>
      <c r="AX140" s="25">
        <f t="shared" si="35"/>
        <v>16208.333333333334</v>
      </c>
      <c r="AY140" s="25">
        <f t="shared" si="35"/>
        <v>16208.333333333334</v>
      </c>
      <c r="AZ140" s="25">
        <f t="shared" si="35"/>
        <v>16208.333333333334</v>
      </c>
      <c r="BA140" s="25">
        <f t="shared" si="35"/>
        <v>16208.333333333334</v>
      </c>
      <c r="BB140" s="25">
        <f t="shared" si="35"/>
        <v>16208.333333333334</v>
      </c>
      <c r="BC140" s="25">
        <f t="shared" si="35"/>
        <v>16208.333333333334</v>
      </c>
      <c r="BD140" s="25">
        <f t="shared" si="35"/>
        <v>22916.666666666668</v>
      </c>
      <c r="BE140" s="25">
        <f t="shared" si="35"/>
        <v>22916.666666666668</v>
      </c>
      <c r="BF140" s="25">
        <f t="shared" si="35"/>
        <v>22916.666666666668</v>
      </c>
      <c r="BG140" s="25">
        <f t="shared" si="35"/>
        <v>22916.666666666668</v>
      </c>
      <c r="BH140" s="25">
        <f t="shared" si="35"/>
        <v>22916.666666666668</v>
      </c>
      <c r="BI140" s="25">
        <f t="shared" si="35"/>
        <v>22916.666666666668</v>
      </c>
      <c r="BJ140" s="25">
        <f t="shared" si="35"/>
        <v>22916.666666666668</v>
      </c>
      <c r="BK140" s="25">
        <f t="shared" si="35"/>
        <v>22916.666666666668</v>
      </c>
      <c r="BL140" s="25">
        <f t="shared" si="35"/>
        <v>22916.666666666668</v>
      </c>
      <c r="BM140" s="25">
        <f t="shared" si="35"/>
        <v>22916.666666666668</v>
      </c>
      <c r="BN140" s="25">
        <f t="shared" si="35"/>
        <v>22916.666666666668</v>
      </c>
      <c r="BO140" s="25">
        <f t="shared" si="35"/>
        <v>22916.666666666668</v>
      </c>
    </row>
    <row r="141" spans="1:67" x14ac:dyDescent="0.25">
      <c r="B141" s="202"/>
    </row>
    <row r="142" spans="1:67" x14ac:dyDescent="0.25">
      <c r="A142" s="197" t="s">
        <v>191</v>
      </c>
      <c r="B142" s="202"/>
    </row>
    <row r="143" spans="1:67" x14ac:dyDescent="0.25">
      <c r="A143" s="220" t="str">
        <f>Assumptions!$J$16</f>
        <v>CTO</v>
      </c>
      <c r="B143" s="202" t="b">
        <f>(H143*12)=Assumptions!M16</f>
        <v>1</v>
      </c>
      <c r="D143" s="214"/>
      <c r="E143" s="214"/>
      <c r="F143" s="214"/>
      <c r="G143" s="214"/>
      <c r="H143" s="221">
        <f>(Assumptions!$M16/12)+(Assumptions!$M16/12)*Assumptions!$K$45</f>
        <v>416.66666666666669</v>
      </c>
      <c r="I143" s="221">
        <f>(Assumptions!$M16/12)+(Assumptions!$M16/12)*Assumptions!$K$45</f>
        <v>416.66666666666669</v>
      </c>
      <c r="J143" s="221">
        <f>(Assumptions!$M16/12)+(Assumptions!$M16/12)*Assumptions!$K$45</f>
        <v>416.66666666666669</v>
      </c>
      <c r="K143" s="221">
        <f>(Assumptions!$M16/12)+(Assumptions!$M16/12)*Assumptions!$K$45</f>
        <v>416.66666666666669</v>
      </c>
      <c r="L143" s="221">
        <f>(Assumptions!$M16/12)+(Assumptions!$M16/12)*Assumptions!$K$45</f>
        <v>416.66666666666669</v>
      </c>
      <c r="M143" s="221">
        <f>(Assumptions!$M16/12)+(Assumptions!$M16/12)*Assumptions!$K$45</f>
        <v>416.66666666666669</v>
      </c>
      <c r="N143" s="221">
        <f>(Assumptions!$M16/12)+(Assumptions!$M16/12)*Assumptions!$K$45</f>
        <v>416.66666666666669</v>
      </c>
      <c r="O143" s="221">
        <f>(Assumptions!$M16/12)+(Assumptions!$M16/12)*Assumptions!$K$45</f>
        <v>416.66666666666669</v>
      </c>
      <c r="P143" s="221">
        <f>(Assumptions!$M16/12)+(Assumptions!$M16/12)*Assumptions!$K$45</f>
        <v>416.66666666666669</v>
      </c>
      <c r="Q143" s="221">
        <f>(Assumptions!$M16/12)+(Assumptions!$M16/12)*Assumptions!$K$45</f>
        <v>416.66666666666669</v>
      </c>
      <c r="R143" s="221">
        <f>(Assumptions!$M16/12)+(Assumptions!$M16/12)*Assumptions!$K$45</f>
        <v>416.66666666666669</v>
      </c>
      <c r="S143" s="221">
        <f>(Assumptions!$M16/12)+(Assumptions!$M16/12)*Assumptions!$K$45</f>
        <v>416.66666666666669</v>
      </c>
      <c r="T143" s="221">
        <f>(Assumptions!$M16/12)+(Assumptions!$M16/12)*Assumptions!$L$45</f>
        <v>2083.3333333333335</v>
      </c>
      <c r="U143" s="221">
        <f>(Assumptions!$M16/12)+(Assumptions!$M16/12)*Assumptions!$L$45</f>
        <v>2083.3333333333335</v>
      </c>
      <c r="V143" s="221">
        <f>(Assumptions!$M16/12)+(Assumptions!$M16/12)*Assumptions!$L$45</f>
        <v>2083.3333333333335</v>
      </c>
      <c r="W143" s="221">
        <f>(Assumptions!$M16/12)+(Assumptions!$M16/12)*Assumptions!$L$45</f>
        <v>2083.3333333333335</v>
      </c>
      <c r="X143" s="221">
        <f>(Assumptions!$M16/12)+(Assumptions!$M16/12)*Assumptions!$L$45</f>
        <v>2083.3333333333335</v>
      </c>
      <c r="Y143" s="221">
        <f>(Assumptions!$M16/12)+(Assumptions!$M16/12)*Assumptions!$L$45</f>
        <v>2083.3333333333335</v>
      </c>
      <c r="Z143" s="221">
        <f>(Assumptions!$M16/12)+(Assumptions!$M16/12)*Assumptions!$L$45</f>
        <v>2083.3333333333335</v>
      </c>
      <c r="AA143" s="221">
        <f>(Assumptions!$M16/12)+(Assumptions!$M16/12)*Assumptions!$L$45</f>
        <v>2083.3333333333335</v>
      </c>
      <c r="AB143" s="221">
        <f>(Assumptions!$M16/12)+(Assumptions!$M16/12)*Assumptions!$L$45</f>
        <v>2083.3333333333335</v>
      </c>
      <c r="AC143" s="221">
        <f>(Assumptions!$M16/12)+(Assumptions!$M16/12)*Assumptions!$L$45</f>
        <v>2083.3333333333335</v>
      </c>
      <c r="AD143" s="221">
        <f>(Assumptions!$M16/12)+(Assumptions!$M16/12)*Assumptions!$L$45</f>
        <v>2083.3333333333335</v>
      </c>
      <c r="AE143" s="221">
        <f>(Assumptions!$M16/12)+(Assumptions!$M16/12)*Assumptions!$L$45</f>
        <v>2083.3333333333335</v>
      </c>
      <c r="AF143" s="221">
        <f>(Assumptions!$M16/12)+(Assumptions!$M16/12)*Assumptions!$M$45</f>
        <v>4166.666666666667</v>
      </c>
      <c r="AG143" s="221">
        <f>(Assumptions!$M16/12)+(Assumptions!$M16/12)*Assumptions!$M$45</f>
        <v>4166.666666666667</v>
      </c>
      <c r="AH143" s="221">
        <f>(Assumptions!$M16/12)+(Assumptions!$M16/12)*Assumptions!$M$45</f>
        <v>4166.666666666667</v>
      </c>
      <c r="AI143" s="221">
        <f>(Assumptions!$M16/12)+(Assumptions!$M16/12)*Assumptions!$M$45</f>
        <v>4166.666666666667</v>
      </c>
      <c r="AJ143" s="221">
        <f>(Assumptions!$M16/12)+(Assumptions!$M16/12)*Assumptions!$M$45</f>
        <v>4166.666666666667</v>
      </c>
      <c r="AK143" s="221">
        <f>(Assumptions!$M16/12)+(Assumptions!$M16/12)*Assumptions!$M$45</f>
        <v>4166.666666666667</v>
      </c>
      <c r="AL143" s="221">
        <f>(Assumptions!$M16/12)+(Assumptions!$M16/12)*Assumptions!$M$45</f>
        <v>4166.666666666667</v>
      </c>
      <c r="AM143" s="221">
        <f>(Assumptions!$M16/12)+(Assumptions!$M16/12)*Assumptions!$M$45</f>
        <v>4166.666666666667</v>
      </c>
      <c r="AN143" s="221">
        <f>(Assumptions!$M16/12)+(Assumptions!$M16/12)*Assumptions!$M$45</f>
        <v>4166.666666666667</v>
      </c>
      <c r="AO143" s="221">
        <f>(Assumptions!$M16/12)+(Assumptions!$M16/12)*Assumptions!$M$45</f>
        <v>4166.666666666667</v>
      </c>
      <c r="AP143" s="221">
        <f>(Assumptions!$M16/12)+(Assumptions!$M16/12)*Assumptions!$M$45</f>
        <v>4166.666666666667</v>
      </c>
      <c r="AQ143" s="221">
        <f>(Assumptions!$M16/12)+(Assumptions!$M16/12)*Assumptions!$M$45</f>
        <v>4166.666666666667</v>
      </c>
      <c r="AR143" s="221">
        <f>(Assumptions!$M16/12)+(Assumptions!$M16/12)*Assumptions!$N$45</f>
        <v>6666.666666666667</v>
      </c>
      <c r="AS143" s="221">
        <f>(Assumptions!$M16/12)+(Assumptions!$M16/12)*Assumptions!$N$45</f>
        <v>6666.666666666667</v>
      </c>
      <c r="AT143" s="221">
        <f>(Assumptions!$M16/12)+(Assumptions!$M16/12)*Assumptions!$N$45</f>
        <v>6666.666666666667</v>
      </c>
      <c r="AU143" s="221">
        <f>(Assumptions!$M16/12)+(Assumptions!$M16/12)*Assumptions!$N$45</f>
        <v>6666.666666666667</v>
      </c>
      <c r="AV143" s="221">
        <f>(Assumptions!$M16/12)+(Assumptions!$M16/12)*Assumptions!$N$45</f>
        <v>6666.666666666667</v>
      </c>
      <c r="AW143" s="221">
        <f>(Assumptions!$M16/12)+(Assumptions!$M16/12)*Assumptions!$N$45</f>
        <v>6666.666666666667</v>
      </c>
      <c r="AX143" s="221">
        <f>(Assumptions!$M16/12)+(Assumptions!$M16/12)*Assumptions!$N$45</f>
        <v>6666.666666666667</v>
      </c>
      <c r="AY143" s="221">
        <f>(Assumptions!$M16/12)+(Assumptions!$M16/12)*Assumptions!$N$45</f>
        <v>6666.666666666667</v>
      </c>
      <c r="AZ143" s="221">
        <f>(Assumptions!$M16/12)+(Assumptions!$M16/12)*Assumptions!$N$45</f>
        <v>6666.666666666667</v>
      </c>
      <c r="BA143" s="221">
        <f>(Assumptions!$M16/12)+(Assumptions!$M16/12)*Assumptions!$N$45</f>
        <v>6666.666666666667</v>
      </c>
      <c r="BB143" s="221">
        <f>(Assumptions!$M16/12)+(Assumptions!$M16/12)*Assumptions!$N$45</f>
        <v>6666.666666666667</v>
      </c>
      <c r="BC143" s="221">
        <f>(Assumptions!$M16/12)+(Assumptions!$M16/12)*Assumptions!$N$45</f>
        <v>6666.666666666667</v>
      </c>
      <c r="BD143" s="221">
        <f>(Assumptions!$M16/12)+(Assumptions!$M16/12)*Assumptions!$O$45</f>
        <v>9583.3333333333339</v>
      </c>
      <c r="BE143" s="221">
        <f>(Assumptions!$M16/12)+(Assumptions!$M16/12)*Assumptions!$O$45</f>
        <v>9583.3333333333339</v>
      </c>
      <c r="BF143" s="221">
        <f>(Assumptions!$M16/12)+(Assumptions!$M16/12)*Assumptions!$O$45</f>
        <v>9583.3333333333339</v>
      </c>
      <c r="BG143" s="221">
        <f>(Assumptions!$M16/12)+(Assumptions!$M16/12)*Assumptions!$O$45</f>
        <v>9583.3333333333339</v>
      </c>
      <c r="BH143" s="221">
        <f>(Assumptions!$M16/12)+(Assumptions!$M16/12)*Assumptions!$O$45</f>
        <v>9583.3333333333339</v>
      </c>
      <c r="BI143" s="221">
        <f>(Assumptions!$M16/12)+(Assumptions!$M16/12)*Assumptions!$O$45</f>
        <v>9583.3333333333339</v>
      </c>
      <c r="BJ143" s="221">
        <f>(Assumptions!$M16/12)+(Assumptions!$M16/12)*Assumptions!$O$45</f>
        <v>9583.3333333333339</v>
      </c>
      <c r="BK143" s="221">
        <f>(Assumptions!$M16/12)+(Assumptions!$M16/12)*Assumptions!$O$45</f>
        <v>9583.3333333333339</v>
      </c>
      <c r="BL143" s="221">
        <f>(Assumptions!$M16/12)+(Assumptions!$M16/12)*Assumptions!$O$45</f>
        <v>9583.3333333333339</v>
      </c>
      <c r="BM143" s="221">
        <f>(Assumptions!$M16/12)+(Assumptions!$M16/12)*Assumptions!$O$45</f>
        <v>9583.3333333333339</v>
      </c>
      <c r="BN143" s="221">
        <f>(Assumptions!$M16/12)+(Assumptions!$M16/12)*Assumptions!$O$45</f>
        <v>9583.3333333333339</v>
      </c>
      <c r="BO143" s="221">
        <f>(Assumptions!$M16/12)+(Assumptions!$M16/12)*Assumptions!$O$45</f>
        <v>9583.3333333333339</v>
      </c>
    </row>
    <row r="144" spans="1:67" x14ac:dyDescent="0.25">
      <c r="A144" s="220" t="str">
        <f>Assumptions!$J$17</f>
        <v>CISO</v>
      </c>
      <c r="B144" s="202" t="b">
        <f>(H144*12)=Assumptions!M17</f>
        <v>1</v>
      </c>
      <c r="D144" s="214"/>
      <c r="E144" s="214"/>
      <c r="F144" s="214"/>
      <c r="G144" s="214"/>
      <c r="H144" s="221">
        <f>(Assumptions!$M17/12)+(Assumptions!$M17/12)*Assumptions!$K$45</f>
        <v>416.66666666666669</v>
      </c>
      <c r="I144" s="221">
        <f>(Assumptions!$M17/12)+(Assumptions!$M17/12)*Assumptions!$K$45</f>
        <v>416.66666666666669</v>
      </c>
      <c r="J144" s="221">
        <f>(Assumptions!$M17/12)+(Assumptions!$M17/12)*Assumptions!$K$45</f>
        <v>416.66666666666669</v>
      </c>
      <c r="K144" s="221">
        <f>(Assumptions!$M17/12)+(Assumptions!$M17/12)*Assumptions!$K$45</f>
        <v>416.66666666666669</v>
      </c>
      <c r="L144" s="221">
        <f>(Assumptions!$M17/12)+(Assumptions!$M17/12)*Assumptions!$K$45</f>
        <v>416.66666666666669</v>
      </c>
      <c r="M144" s="221">
        <f>(Assumptions!$M17/12)+(Assumptions!$M17/12)*Assumptions!$K$45</f>
        <v>416.66666666666669</v>
      </c>
      <c r="N144" s="221">
        <f>(Assumptions!$M17/12)+(Assumptions!$M17/12)*Assumptions!$K$45</f>
        <v>416.66666666666669</v>
      </c>
      <c r="O144" s="221">
        <f>(Assumptions!$M17/12)+(Assumptions!$M17/12)*Assumptions!$K$45</f>
        <v>416.66666666666669</v>
      </c>
      <c r="P144" s="221">
        <f>(Assumptions!$M17/12)+(Assumptions!$M17/12)*Assumptions!$K$45</f>
        <v>416.66666666666669</v>
      </c>
      <c r="Q144" s="221">
        <f>(Assumptions!$M17/12)+(Assumptions!$M17/12)*Assumptions!$K$45</f>
        <v>416.66666666666669</v>
      </c>
      <c r="R144" s="221">
        <f>(Assumptions!$M17/12)+(Assumptions!$M17/12)*Assumptions!$K$45</f>
        <v>416.66666666666669</v>
      </c>
      <c r="S144" s="221">
        <f>(Assumptions!$M17/12)+(Assumptions!$M17/12)*Assumptions!$K$45</f>
        <v>416.66666666666669</v>
      </c>
      <c r="T144" s="221">
        <f>(Assumptions!$M17/12)+(Assumptions!$M17/12)*Assumptions!$L$45</f>
        <v>2083.3333333333335</v>
      </c>
      <c r="U144" s="221">
        <f>(Assumptions!$M17/12)+(Assumptions!$M17/12)*Assumptions!$L$45</f>
        <v>2083.3333333333335</v>
      </c>
      <c r="V144" s="221">
        <f>(Assumptions!$M17/12)+(Assumptions!$M17/12)*Assumptions!$L$45</f>
        <v>2083.3333333333335</v>
      </c>
      <c r="W144" s="221">
        <f>(Assumptions!$M17/12)+(Assumptions!$M17/12)*Assumptions!$L$45</f>
        <v>2083.3333333333335</v>
      </c>
      <c r="X144" s="221">
        <f>(Assumptions!$M17/12)+(Assumptions!$M17/12)*Assumptions!$L$45</f>
        <v>2083.3333333333335</v>
      </c>
      <c r="Y144" s="221">
        <f>(Assumptions!$M17/12)+(Assumptions!$M17/12)*Assumptions!$L$45</f>
        <v>2083.3333333333335</v>
      </c>
      <c r="Z144" s="221">
        <f>(Assumptions!$M17/12)+(Assumptions!$M17/12)*Assumptions!$L$45</f>
        <v>2083.3333333333335</v>
      </c>
      <c r="AA144" s="221">
        <f>(Assumptions!$M17/12)+(Assumptions!$M17/12)*Assumptions!$L$45</f>
        <v>2083.3333333333335</v>
      </c>
      <c r="AB144" s="221">
        <f>(Assumptions!$M17/12)+(Assumptions!$M17/12)*Assumptions!$L$45</f>
        <v>2083.3333333333335</v>
      </c>
      <c r="AC144" s="221">
        <f>(Assumptions!$M17/12)+(Assumptions!$M17/12)*Assumptions!$L$45</f>
        <v>2083.3333333333335</v>
      </c>
      <c r="AD144" s="221">
        <f>(Assumptions!$M17/12)+(Assumptions!$M17/12)*Assumptions!$L$45</f>
        <v>2083.3333333333335</v>
      </c>
      <c r="AE144" s="221">
        <f>(Assumptions!$M17/12)+(Assumptions!$M17/12)*Assumptions!$L$45</f>
        <v>2083.3333333333335</v>
      </c>
      <c r="AF144" s="221">
        <f>(Assumptions!$M17/12)+(Assumptions!$M17/12)*Assumptions!$M$45</f>
        <v>4166.666666666667</v>
      </c>
      <c r="AG144" s="221">
        <f>(Assumptions!$M17/12)+(Assumptions!$M17/12)*Assumptions!$M$45</f>
        <v>4166.666666666667</v>
      </c>
      <c r="AH144" s="221">
        <f>(Assumptions!$M17/12)+(Assumptions!$M17/12)*Assumptions!$M$45</f>
        <v>4166.666666666667</v>
      </c>
      <c r="AI144" s="221">
        <f>(Assumptions!$M17/12)+(Assumptions!$M17/12)*Assumptions!$M$45</f>
        <v>4166.666666666667</v>
      </c>
      <c r="AJ144" s="221">
        <f>(Assumptions!$M17/12)+(Assumptions!$M17/12)*Assumptions!$M$45</f>
        <v>4166.666666666667</v>
      </c>
      <c r="AK144" s="221">
        <f>(Assumptions!$M17/12)+(Assumptions!$M17/12)*Assumptions!$M$45</f>
        <v>4166.666666666667</v>
      </c>
      <c r="AL144" s="221">
        <f>(Assumptions!$M17/12)+(Assumptions!$M17/12)*Assumptions!$M$45</f>
        <v>4166.666666666667</v>
      </c>
      <c r="AM144" s="221">
        <f>(Assumptions!$M17/12)+(Assumptions!$M17/12)*Assumptions!$M$45</f>
        <v>4166.666666666667</v>
      </c>
      <c r="AN144" s="221">
        <f>(Assumptions!$M17/12)+(Assumptions!$M17/12)*Assumptions!$M$45</f>
        <v>4166.666666666667</v>
      </c>
      <c r="AO144" s="221">
        <f>(Assumptions!$M17/12)+(Assumptions!$M17/12)*Assumptions!$M$45</f>
        <v>4166.666666666667</v>
      </c>
      <c r="AP144" s="221">
        <f>(Assumptions!$M17/12)+(Assumptions!$M17/12)*Assumptions!$M$45</f>
        <v>4166.666666666667</v>
      </c>
      <c r="AQ144" s="221">
        <f>(Assumptions!$M17/12)+(Assumptions!$M17/12)*Assumptions!$M$45</f>
        <v>4166.666666666667</v>
      </c>
      <c r="AR144" s="221">
        <f>(Assumptions!$M17/12)+(Assumptions!$M17/12)*Assumptions!$N$45</f>
        <v>6666.666666666667</v>
      </c>
      <c r="AS144" s="221">
        <f>(Assumptions!$M17/12)+(Assumptions!$M17/12)*Assumptions!$N$45</f>
        <v>6666.666666666667</v>
      </c>
      <c r="AT144" s="221">
        <f>(Assumptions!$M17/12)+(Assumptions!$M17/12)*Assumptions!$N$45</f>
        <v>6666.666666666667</v>
      </c>
      <c r="AU144" s="221">
        <f>(Assumptions!$M17/12)+(Assumptions!$M17/12)*Assumptions!$N$45</f>
        <v>6666.666666666667</v>
      </c>
      <c r="AV144" s="221">
        <f>(Assumptions!$M17/12)+(Assumptions!$M17/12)*Assumptions!$N$45</f>
        <v>6666.666666666667</v>
      </c>
      <c r="AW144" s="221">
        <f>(Assumptions!$M17/12)+(Assumptions!$M17/12)*Assumptions!$N$45</f>
        <v>6666.666666666667</v>
      </c>
      <c r="AX144" s="221">
        <f>(Assumptions!$M17/12)+(Assumptions!$M17/12)*Assumptions!$N$45</f>
        <v>6666.666666666667</v>
      </c>
      <c r="AY144" s="221">
        <f>(Assumptions!$M17/12)+(Assumptions!$M17/12)*Assumptions!$N$45</f>
        <v>6666.666666666667</v>
      </c>
      <c r="AZ144" s="221">
        <f>(Assumptions!$M17/12)+(Assumptions!$M17/12)*Assumptions!$N$45</f>
        <v>6666.666666666667</v>
      </c>
      <c r="BA144" s="221">
        <f>(Assumptions!$M17/12)+(Assumptions!$M17/12)*Assumptions!$N$45</f>
        <v>6666.666666666667</v>
      </c>
      <c r="BB144" s="221">
        <f>(Assumptions!$M17/12)+(Assumptions!$M17/12)*Assumptions!$N$45</f>
        <v>6666.666666666667</v>
      </c>
      <c r="BC144" s="221">
        <f>(Assumptions!$M17/12)+(Assumptions!$M17/12)*Assumptions!$N$45</f>
        <v>6666.666666666667</v>
      </c>
      <c r="BD144" s="221">
        <f>(Assumptions!$M17/12)+(Assumptions!$M17/12)*Assumptions!$O$45</f>
        <v>9583.3333333333339</v>
      </c>
      <c r="BE144" s="221">
        <f>(Assumptions!$M17/12)+(Assumptions!$M17/12)*Assumptions!$O$45</f>
        <v>9583.3333333333339</v>
      </c>
      <c r="BF144" s="221">
        <f>(Assumptions!$M17/12)+(Assumptions!$M17/12)*Assumptions!$O$45</f>
        <v>9583.3333333333339</v>
      </c>
      <c r="BG144" s="221">
        <f>(Assumptions!$M17/12)+(Assumptions!$M17/12)*Assumptions!$O$45</f>
        <v>9583.3333333333339</v>
      </c>
      <c r="BH144" s="221">
        <f>(Assumptions!$M17/12)+(Assumptions!$M17/12)*Assumptions!$O$45</f>
        <v>9583.3333333333339</v>
      </c>
      <c r="BI144" s="221">
        <f>(Assumptions!$M17/12)+(Assumptions!$M17/12)*Assumptions!$O$45</f>
        <v>9583.3333333333339</v>
      </c>
      <c r="BJ144" s="221">
        <f>(Assumptions!$M17/12)+(Assumptions!$M17/12)*Assumptions!$O$45</f>
        <v>9583.3333333333339</v>
      </c>
      <c r="BK144" s="221">
        <f>(Assumptions!$M17/12)+(Assumptions!$M17/12)*Assumptions!$O$45</f>
        <v>9583.3333333333339</v>
      </c>
      <c r="BL144" s="221">
        <f>(Assumptions!$M17/12)+(Assumptions!$M17/12)*Assumptions!$O$45</f>
        <v>9583.3333333333339</v>
      </c>
      <c r="BM144" s="221">
        <f>(Assumptions!$M17/12)+(Assumptions!$M17/12)*Assumptions!$O$45</f>
        <v>9583.3333333333339</v>
      </c>
      <c r="BN144" s="221">
        <f>(Assumptions!$M17/12)+(Assumptions!$M17/12)*Assumptions!$O$45</f>
        <v>9583.3333333333339</v>
      </c>
      <c r="BO144" s="221">
        <f>(Assumptions!$M17/12)+(Assumptions!$M17/12)*Assumptions!$O$45</f>
        <v>9583.3333333333339</v>
      </c>
    </row>
    <row r="145" spans="1:67" x14ac:dyDescent="0.25">
      <c r="A145" s="220" t="str">
        <f>Assumptions!$J$18</f>
        <v>InfoSec Consultant</v>
      </c>
      <c r="B145" s="202" t="b">
        <f>(H145*12)=Assumptions!M18</f>
        <v>1</v>
      </c>
      <c r="D145" s="214"/>
      <c r="E145" s="214"/>
      <c r="F145" s="214"/>
      <c r="G145" s="214"/>
      <c r="H145" s="221">
        <f>(Assumptions!$M18/12)+(Assumptions!$M18/12)*Assumptions!$K$45</f>
        <v>416.66666666666669</v>
      </c>
      <c r="I145" s="221">
        <f>(Assumptions!$M18/12)+(Assumptions!$M18/12)*Assumptions!$K$45</f>
        <v>416.66666666666669</v>
      </c>
      <c r="J145" s="221">
        <f>(Assumptions!$M18/12)+(Assumptions!$M18/12)*Assumptions!$K$45</f>
        <v>416.66666666666669</v>
      </c>
      <c r="K145" s="221">
        <f>(Assumptions!$M18/12)+(Assumptions!$M18/12)*Assumptions!$K$45</f>
        <v>416.66666666666669</v>
      </c>
      <c r="L145" s="221">
        <f>(Assumptions!$M18/12)+(Assumptions!$M18/12)*Assumptions!$K$45</f>
        <v>416.66666666666669</v>
      </c>
      <c r="M145" s="221">
        <f>(Assumptions!$M18/12)+(Assumptions!$M18/12)*Assumptions!$K$45</f>
        <v>416.66666666666669</v>
      </c>
      <c r="N145" s="221">
        <f>(Assumptions!$M18/12)+(Assumptions!$M18/12)*Assumptions!$K$45</f>
        <v>416.66666666666669</v>
      </c>
      <c r="O145" s="221">
        <f>(Assumptions!$M18/12)+(Assumptions!$M18/12)*Assumptions!$K$45</f>
        <v>416.66666666666669</v>
      </c>
      <c r="P145" s="221">
        <f>(Assumptions!$M18/12)+(Assumptions!$M18/12)*Assumptions!$K$45</f>
        <v>416.66666666666669</v>
      </c>
      <c r="Q145" s="221">
        <f>(Assumptions!$M18/12)+(Assumptions!$M18/12)*Assumptions!$K$45</f>
        <v>416.66666666666669</v>
      </c>
      <c r="R145" s="221">
        <f>(Assumptions!$M18/12)+(Assumptions!$M18/12)*Assumptions!$K$45</f>
        <v>416.66666666666669</v>
      </c>
      <c r="S145" s="221">
        <f>(Assumptions!$M18/12)+(Assumptions!$M18/12)*Assumptions!$K$45</f>
        <v>416.66666666666669</v>
      </c>
      <c r="T145" s="221">
        <f>(Assumptions!$M18/12)+(Assumptions!$M18/12)*Assumptions!$L$45</f>
        <v>2083.3333333333335</v>
      </c>
      <c r="U145" s="221">
        <f>(Assumptions!$M18/12)+(Assumptions!$M18/12)*Assumptions!$L$45</f>
        <v>2083.3333333333335</v>
      </c>
      <c r="V145" s="221">
        <f>(Assumptions!$M18/12)+(Assumptions!$M18/12)*Assumptions!$L$45</f>
        <v>2083.3333333333335</v>
      </c>
      <c r="W145" s="221">
        <f>(Assumptions!$M18/12)+(Assumptions!$M18/12)*Assumptions!$L$45</f>
        <v>2083.3333333333335</v>
      </c>
      <c r="X145" s="221">
        <f>(Assumptions!$M18/12)+(Assumptions!$M18/12)*Assumptions!$L$45</f>
        <v>2083.3333333333335</v>
      </c>
      <c r="Y145" s="221">
        <f>(Assumptions!$M18/12)+(Assumptions!$M18/12)*Assumptions!$L$45</f>
        <v>2083.3333333333335</v>
      </c>
      <c r="Z145" s="221">
        <f>(Assumptions!$M18/12)+(Assumptions!$M18/12)*Assumptions!$L$45</f>
        <v>2083.3333333333335</v>
      </c>
      <c r="AA145" s="221">
        <f>(Assumptions!$M18/12)+(Assumptions!$M18/12)*Assumptions!$L$45</f>
        <v>2083.3333333333335</v>
      </c>
      <c r="AB145" s="221">
        <f>(Assumptions!$M18/12)+(Assumptions!$M18/12)*Assumptions!$L$45</f>
        <v>2083.3333333333335</v>
      </c>
      <c r="AC145" s="221">
        <f>(Assumptions!$M18/12)+(Assumptions!$M18/12)*Assumptions!$L$45</f>
        <v>2083.3333333333335</v>
      </c>
      <c r="AD145" s="221">
        <f>(Assumptions!$M18/12)+(Assumptions!$M18/12)*Assumptions!$L$45</f>
        <v>2083.3333333333335</v>
      </c>
      <c r="AE145" s="221">
        <f>(Assumptions!$M18/12)+(Assumptions!$M18/12)*Assumptions!$L$45</f>
        <v>2083.3333333333335</v>
      </c>
      <c r="AF145" s="221">
        <f>(Assumptions!$M18/12)+(Assumptions!$M18/12)*Assumptions!$M$45</f>
        <v>4166.666666666667</v>
      </c>
      <c r="AG145" s="221">
        <f>(Assumptions!$M18/12)+(Assumptions!$M18/12)*Assumptions!$M$45</f>
        <v>4166.666666666667</v>
      </c>
      <c r="AH145" s="221">
        <f>(Assumptions!$M18/12)+(Assumptions!$M18/12)*Assumptions!$M$45</f>
        <v>4166.666666666667</v>
      </c>
      <c r="AI145" s="221">
        <f>(Assumptions!$M18/12)+(Assumptions!$M18/12)*Assumptions!$M$45</f>
        <v>4166.666666666667</v>
      </c>
      <c r="AJ145" s="221">
        <f>(Assumptions!$M18/12)+(Assumptions!$M18/12)*Assumptions!$M$45</f>
        <v>4166.666666666667</v>
      </c>
      <c r="AK145" s="221">
        <f>(Assumptions!$M18/12)+(Assumptions!$M18/12)*Assumptions!$M$45</f>
        <v>4166.666666666667</v>
      </c>
      <c r="AL145" s="221">
        <f>(Assumptions!$M18/12)+(Assumptions!$M18/12)*Assumptions!$M$45</f>
        <v>4166.666666666667</v>
      </c>
      <c r="AM145" s="221">
        <f>(Assumptions!$M18/12)+(Assumptions!$M18/12)*Assumptions!$M$45</f>
        <v>4166.666666666667</v>
      </c>
      <c r="AN145" s="221">
        <f>(Assumptions!$M18/12)+(Assumptions!$M18/12)*Assumptions!$M$45</f>
        <v>4166.666666666667</v>
      </c>
      <c r="AO145" s="221">
        <f>(Assumptions!$M18/12)+(Assumptions!$M18/12)*Assumptions!$M$45</f>
        <v>4166.666666666667</v>
      </c>
      <c r="AP145" s="221">
        <f>(Assumptions!$M18/12)+(Assumptions!$M18/12)*Assumptions!$M$45</f>
        <v>4166.666666666667</v>
      </c>
      <c r="AQ145" s="221">
        <f>(Assumptions!$M18/12)+(Assumptions!$M18/12)*Assumptions!$M$45</f>
        <v>4166.666666666667</v>
      </c>
      <c r="AR145" s="221">
        <f>(Assumptions!$M18/12)+(Assumptions!$M18/12)*Assumptions!$N$45</f>
        <v>6666.666666666667</v>
      </c>
      <c r="AS145" s="221">
        <f>(Assumptions!$M18/12)+(Assumptions!$M18/12)*Assumptions!$N$45</f>
        <v>6666.666666666667</v>
      </c>
      <c r="AT145" s="221">
        <f>(Assumptions!$M18/12)+(Assumptions!$M18/12)*Assumptions!$N$45</f>
        <v>6666.666666666667</v>
      </c>
      <c r="AU145" s="221">
        <f>(Assumptions!$M18/12)+(Assumptions!$M18/12)*Assumptions!$N$45</f>
        <v>6666.666666666667</v>
      </c>
      <c r="AV145" s="221">
        <f>(Assumptions!$M18/12)+(Assumptions!$M18/12)*Assumptions!$N$45</f>
        <v>6666.666666666667</v>
      </c>
      <c r="AW145" s="221">
        <f>(Assumptions!$M18/12)+(Assumptions!$M18/12)*Assumptions!$N$45</f>
        <v>6666.666666666667</v>
      </c>
      <c r="AX145" s="221">
        <f>(Assumptions!$M18/12)+(Assumptions!$M18/12)*Assumptions!$N$45</f>
        <v>6666.666666666667</v>
      </c>
      <c r="AY145" s="221">
        <f>(Assumptions!$M18/12)+(Assumptions!$M18/12)*Assumptions!$N$45</f>
        <v>6666.666666666667</v>
      </c>
      <c r="AZ145" s="221">
        <f>(Assumptions!$M18/12)+(Assumptions!$M18/12)*Assumptions!$N$45</f>
        <v>6666.666666666667</v>
      </c>
      <c r="BA145" s="221">
        <f>(Assumptions!$M18/12)+(Assumptions!$M18/12)*Assumptions!$N$45</f>
        <v>6666.666666666667</v>
      </c>
      <c r="BB145" s="221">
        <f>(Assumptions!$M18/12)+(Assumptions!$M18/12)*Assumptions!$N$45</f>
        <v>6666.666666666667</v>
      </c>
      <c r="BC145" s="221">
        <f>(Assumptions!$M18/12)+(Assumptions!$M18/12)*Assumptions!$N$45</f>
        <v>6666.666666666667</v>
      </c>
      <c r="BD145" s="221">
        <f>(Assumptions!$M18/12)+(Assumptions!$M18/12)*Assumptions!$O$45</f>
        <v>9583.3333333333339</v>
      </c>
      <c r="BE145" s="221">
        <f>(Assumptions!$M18/12)+(Assumptions!$M18/12)*Assumptions!$O$45</f>
        <v>9583.3333333333339</v>
      </c>
      <c r="BF145" s="221">
        <f>(Assumptions!$M18/12)+(Assumptions!$M18/12)*Assumptions!$O$45</f>
        <v>9583.3333333333339</v>
      </c>
      <c r="BG145" s="221">
        <f>(Assumptions!$M18/12)+(Assumptions!$M18/12)*Assumptions!$O$45</f>
        <v>9583.3333333333339</v>
      </c>
      <c r="BH145" s="221">
        <f>(Assumptions!$M18/12)+(Assumptions!$M18/12)*Assumptions!$O$45</f>
        <v>9583.3333333333339</v>
      </c>
      <c r="BI145" s="221">
        <f>(Assumptions!$M18/12)+(Assumptions!$M18/12)*Assumptions!$O$45</f>
        <v>9583.3333333333339</v>
      </c>
      <c r="BJ145" s="221">
        <f>(Assumptions!$M18/12)+(Assumptions!$M18/12)*Assumptions!$O$45</f>
        <v>9583.3333333333339</v>
      </c>
      <c r="BK145" s="221">
        <f>(Assumptions!$M18/12)+(Assumptions!$M18/12)*Assumptions!$O$45</f>
        <v>9583.3333333333339</v>
      </c>
      <c r="BL145" s="221">
        <f>(Assumptions!$M18/12)+(Assumptions!$M18/12)*Assumptions!$O$45</f>
        <v>9583.3333333333339</v>
      </c>
      <c r="BM145" s="221">
        <f>(Assumptions!$M18/12)+(Assumptions!$M18/12)*Assumptions!$O$45</f>
        <v>9583.3333333333339</v>
      </c>
      <c r="BN145" s="221">
        <f>(Assumptions!$M18/12)+(Assumptions!$M18/12)*Assumptions!$O$45</f>
        <v>9583.3333333333339</v>
      </c>
      <c r="BO145" s="221">
        <f>(Assumptions!$M18/12)+(Assumptions!$M18/12)*Assumptions!$O$45</f>
        <v>9583.3333333333339</v>
      </c>
    </row>
    <row r="146" spans="1:67" x14ac:dyDescent="0.25">
      <c r="A146" s="220" t="str">
        <f>Assumptions!$J$19</f>
        <v>Laravel Developer</v>
      </c>
      <c r="B146" s="202" t="b">
        <f>(H146*12)=Assumptions!M19</f>
        <v>1</v>
      </c>
      <c r="D146" s="214"/>
      <c r="E146" s="214"/>
      <c r="F146" s="214"/>
      <c r="G146" s="214"/>
      <c r="H146" s="221">
        <f>(Assumptions!$M19/12)+(Assumptions!$M19/12)*Assumptions!$K$45</f>
        <v>416.66666666666669</v>
      </c>
      <c r="I146" s="221">
        <f>(Assumptions!$M19/12)+(Assumptions!$M19/12)*Assumptions!$K$45</f>
        <v>416.66666666666669</v>
      </c>
      <c r="J146" s="221">
        <f>(Assumptions!$M19/12)+(Assumptions!$M19/12)*Assumptions!$K$45</f>
        <v>416.66666666666669</v>
      </c>
      <c r="K146" s="221">
        <f>(Assumptions!$M19/12)+(Assumptions!$M19/12)*Assumptions!$K$45</f>
        <v>416.66666666666669</v>
      </c>
      <c r="L146" s="221">
        <f>(Assumptions!$M19/12)+(Assumptions!$M19/12)*Assumptions!$K$45</f>
        <v>416.66666666666669</v>
      </c>
      <c r="M146" s="221">
        <f>(Assumptions!$M19/12)+(Assumptions!$M19/12)*Assumptions!$K$45</f>
        <v>416.66666666666669</v>
      </c>
      <c r="N146" s="221">
        <f>(Assumptions!$M19/12)+(Assumptions!$M19/12)*Assumptions!$K$45</f>
        <v>416.66666666666669</v>
      </c>
      <c r="O146" s="221">
        <f>(Assumptions!$M19/12)+(Assumptions!$M19/12)*Assumptions!$K$45</f>
        <v>416.66666666666669</v>
      </c>
      <c r="P146" s="221">
        <f>(Assumptions!$M19/12)+(Assumptions!$M19/12)*Assumptions!$K$45</f>
        <v>416.66666666666669</v>
      </c>
      <c r="Q146" s="221">
        <f>(Assumptions!$M19/12)+(Assumptions!$M19/12)*Assumptions!$K$45</f>
        <v>416.66666666666669</v>
      </c>
      <c r="R146" s="221">
        <f>(Assumptions!$M19/12)+(Assumptions!$M19/12)*Assumptions!$K$45</f>
        <v>416.66666666666669</v>
      </c>
      <c r="S146" s="221">
        <f>(Assumptions!$M19/12)+(Assumptions!$M19/12)*Assumptions!$K$45</f>
        <v>416.66666666666669</v>
      </c>
      <c r="T146" s="221">
        <f>(Assumptions!$M19/12)+(Assumptions!$M19/12)*Assumptions!$L$45</f>
        <v>2083.3333333333335</v>
      </c>
      <c r="U146" s="221">
        <f>(Assumptions!$M19/12)+(Assumptions!$M19/12)*Assumptions!$L$45</f>
        <v>2083.3333333333335</v>
      </c>
      <c r="V146" s="221">
        <f>(Assumptions!$M19/12)+(Assumptions!$M19/12)*Assumptions!$L$45</f>
        <v>2083.3333333333335</v>
      </c>
      <c r="W146" s="221">
        <f>(Assumptions!$M19/12)+(Assumptions!$M19/12)*Assumptions!$L$45</f>
        <v>2083.3333333333335</v>
      </c>
      <c r="X146" s="221">
        <f>(Assumptions!$M19/12)+(Assumptions!$M19/12)*Assumptions!$L$45</f>
        <v>2083.3333333333335</v>
      </c>
      <c r="Y146" s="221">
        <f>(Assumptions!$M19/12)+(Assumptions!$M19/12)*Assumptions!$L$45</f>
        <v>2083.3333333333335</v>
      </c>
      <c r="Z146" s="221">
        <f>(Assumptions!$M19/12)+(Assumptions!$M19/12)*Assumptions!$L$45</f>
        <v>2083.3333333333335</v>
      </c>
      <c r="AA146" s="221">
        <f>(Assumptions!$M19/12)+(Assumptions!$M19/12)*Assumptions!$L$45</f>
        <v>2083.3333333333335</v>
      </c>
      <c r="AB146" s="221">
        <f>(Assumptions!$M19/12)+(Assumptions!$M19/12)*Assumptions!$L$45</f>
        <v>2083.3333333333335</v>
      </c>
      <c r="AC146" s="221">
        <f>(Assumptions!$M19/12)+(Assumptions!$M19/12)*Assumptions!$L$45</f>
        <v>2083.3333333333335</v>
      </c>
      <c r="AD146" s="221">
        <f>(Assumptions!$M19/12)+(Assumptions!$M19/12)*Assumptions!$L$45</f>
        <v>2083.3333333333335</v>
      </c>
      <c r="AE146" s="221">
        <f>(Assumptions!$M19/12)+(Assumptions!$M19/12)*Assumptions!$L$45</f>
        <v>2083.3333333333335</v>
      </c>
      <c r="AF146" s="221">
        <f>(Assumptions!$M19/12)+(Assumptions!$M19/12)*Assumptions!$M$45</f>
        <v>4166.666666666667</v>
      </c>
      <c r="AG146" s="221">
        <f>(Assumptions!$M19/12)+(Assumptions!$M19/12)*Assumptions!$M$45</f>
        <v>4166.666666666667</v>
      </c>
      <c r="AH146" s="221">
        <f>(Assumptions!$M19/12)+(Assumptions!$M19/12)*Assumptions!$M$45</f>
        <v>4166.666666666667</v>
      </c>
      <c r="AI146" s="221">
        <f>(Assumptions!$M19/12)+(Assumptions!$M19/12)*Assumptions!$M$45</f>
        <v>4166.666666666667</v>
      </c>
      <c r="AJ146" s="221">
        <f>(Assumptions!$M19/12)+(Assumptions!$M19/12)*Assumptions!$M$45</f>
        <v>4166.666666666667</v>
      </c>
      <c r="AK146" s="221">
        <f>(Assumptions!$M19/12)+(Assumptions!$M19/12)*Assumptions!$M$45</f>
        <v>4166.666666666667</v>
      </c>
      <c r="AL146" s="221">
        <f>(Assumptions!$M19/12)+(Assumptions!$M19/12)*Assumptions!$M$45</f>
        <v>4166.666666666667</v>
      </c>
      <c r="AM146" s="221">
        <f>(Assumptions!$M19/12)+(Assumptions!$M19/12)*Assumptions!$M$45</f>
        <v>4166.666666666667</v>
      </c>
      <c r="AN146" s="221">
        <f>(Assumptions!$M19/12)+(Assumptions!$M19/12)*Assumptions!$M$45</f>
        <v>4166.666666666667</v>
      </c>
      <c r="AO146" s="221">
        <f>(Assumptions!$M19/12)+(Assumptions!$M19/12)*Assumptions!$M$45</f>
        <v>4166.666666666667</v>
      </c>
      <c r="AP146" s="221">
        <f>(Assumptions!$M19/12)+(Assumptions!$M19/12)*Assumptions!$M$45</f>
        <v>4166.666666666667</v>
      </c>
      <c r="AQ146" s="221">
        <f>(Assumptions!$M19/12)+(Assumptions!$M19/12)*Assumptions!$M$45</f>
        <v>4166.666666666667</v>
      </c>
      <c r="AR146" s="221">
        <f>(Assumptions!$M19/12)+(Assumptions!$M19/12)*Assumptions!$N$45</f>
        <v>6666.666666666667</v>
      </c>
      <c r="AS146" s="221">
        <f>(Assumptions!$M19/12)+(Assumptions!$M19/12)*Assumptions!$N$45</f>
        <v>6666.666666666667</v>
      </c>
      <c r="AT146" s="221">
        <f>(Assumptions!$M19/12)+(Assumptions!$M19/12)*Assumptions!$N$45</f>
        <v>6666.666666666667</v>
      </c>
      <c r="AU146" s="221">
        <f>(Assumptions!$M19/12)+(Assumptions!$M19/12)*Assumptions!$N$45</f>
        <v>6666.666666666667</v>
      </c>
      <c r="AV146" s="221">
        <f>(Assumptions!$M19/12)+(Assumptions!$M19/12)*Assumptions!$N$45</f>
        <v>6666.666666666667</v>
      </c>
      <c r="AW146" s="221">
        <f>(Assumptions!$M19/12)+(Assumptions!$M19/12)*Assumptions!$N$45</f>
        <v>6666.666666666667</v>
      </c>
      <c r="AX146" s="221">
        <f>(Assumptions!$M19/12)+(Assumptions!$M19/12)*Assumptions!$N$45</f>
        <v>6666.666666666667</v>
      </c>
      <c r="AY146" s="221">
        <f>(Assumptions!$M19/12)+(Assumptions!$M19/12)*Assumptions!$N$45</f>
        <v>6666.666666666667</v>
      </c>
      <c r="AZ146" s="221">
        <f>(Assumptions!$M19/12)+(Assumptions!$M19/12)*Assumptions!$N$45</f>
        <v>6666.666666666667</v>
      </c>
      <c r="BA146" s="221">
        <f>(Assumptions!$M19/12)+(Assumptions!$M19/12)*Assumptions!$N$45</f>
        <v>6666.666666666667</v>
      </c>
      <c r="BB146" s="221">
        <f>(Assumptions!$M19/12)+(Assumptions!$M19/12)*Assumptions!$N$45</f>
        <v>6666.666666666667</v>
      </c>
      <c r="BC146" s="221">
        <f>(Assumptions!$M19/12)+(Assumptions!$M19/12)*Assumptions!$N$45</f>
        <v>6666.666666666667</v>
      </c>
      <c r="BD146" s="221">
        <f>(Assumptions!$M19/12)+(Assumptions!$M19/12)*Assumptions!$O$45</f>
        <v>9583.3333333333339</v>
      </c>
      <c r="BE146" s="221">
        <f>(Assumptions!$M19/12)+(Assumptions!$M19/12)*Assumptions!$O$45</f>
        <v>9583.3333333333339</v>
      </c>
      <c r="BF146" s="221">
        <f>(Assumptions!$M19/12)+(Assumptions!$M19/12)*Assumptions!$O$45</f>
        <v>9583.3333333333339</v>
      </c>
      <c r="BG146" s="221">
        <f>(Assumptions!$M19/12)+(Assumptions!$M19/12)*Assumptions!$O$45</f>
        <v>9583.3333333333339</v>
      </c>
      <c r="BH146" s="221">
        <f>(Assumptions!$M19/12)+(Assumptions!$M19/12)*Assumptions!$O$45</f>
        <v>9583.3333333333339</v>
      </c>
      <c r="BI146" s="221">
        <f>(Assumptions!$M19/12)+(Assumptions!$M19/12)*Assumptions!$O$45</f>
        <v>9583.3333333333339</v>
      </c>
      <c r="BJ146" s="221">
        <f>(Assumptions!$M19/12)+(Assumptions!$M19/12)*Assumptions!$O$45</f>
        <v>9583.3333333333339</v>
      </c>
      <c r="BK146" s="221">
        <f>(Assumptions!$M19/12)+(Assumptions!$M19/12)*Assumptions!$O$45</f>
        <v>9583.3333333333339</v>
      </c>
      <c r="BL146" s="221">
        <f>(Assumptions!$M19/12)+(Assumptions!$M19/12)*Assumptions!$O$45</f>
        <v>9583.3333333333339</v>
      </c>
      <c r="BM146" s="221">
        <f>(Assumptions!$M19/12)+(Assumptions!$M19/12)*Assumptions!$O$45</f>
        <v>9583.3333333333339</v>
      </c>
      <c r="BN146" s="221">
        <f>(Assumptions!$M19/12)+(Assumptions!$M19/12)*Assumptions!$O$45</f>
        <v>9583.3333333333339</v>
      </c>
      <c r="BO146" s="221">
        <f>(Assumptions!$M19/12)+(Assumptions!$M19/12)*Assumptions!$O$45</f>
        <v>9583.3333333333339</v>
      </c>
    </row>
    <row r="147" spans="1:67" s="25" customFormat="1" x14ac:dyDescent="0.25">
      <c r="A147" s="25" t="s">
        <v>243</v>
      </c>
      <c r="B147" s="202">
        <f>MAX(D147:AQ147)</f>
        <v>16666.666666666668</v>
      </c>
      <c r="D147" s="25">
        <f>SUM(D142:D146)</f>
        <v>0</v>
      </c>
      <c r="E147" s="25">
        <f t="shared" ref="E147:BO147" si="36">SUM(E142:E146)</f>
        <v>0</v>
      </c>
      <c r="F147" s="25">
        <f t="shared" si="36"/>
        <v>0</v>
      </c>
      <c r="G147" s="25">
        <f t="shared" si="36"/>
        <v>0</v>
      </c>
      <c r="H147" s="25">
        <f t="shared" si="36"/>
        <v>1666.6666666666667</v>
      </c>
      <c r="I147" s="25">
        <f t="shared" si="36"/>
        <v>1666.6666666666667</v>
      </c>
      <c r="J147" s="25">
        <f t="shared" si="36"/>
        <v>1666.6666666666667</v>
      </c>
      <c r="K147" s="25">
        <f t="shared" si="36"/>
        <v>1666.6666666666667</v>
      </c>
      <c r="L147" s="25">
        <f t="shared" si="36"/>
        <v>1666.6666666666667</v>
      </c>
      <c r="M147" s="25">
        <f t="shared" si="36"/>
        <v>1666.6666666666667</v>
      </c>
      <c r="N147" s="25">
        <f t="shared" si="36"/>
        <v>1666.6666666666667</v>
      </c>
      <c r="O147" s="25">
        <f t="shared" si="36"/>
        <v>1666.6666666666667</v>
      </c>
      <c r="P147" s="25">
        <f t="shared" si="36"/>
        <v>1666.6666666666667</v>
      </c>
      <c r="Q147" s="25">
        <f t="shared" si="36"/>
        <v>1666.6666666666667</v>
      </c>
      <c r="R147" s="25">
        <f t="shared" si="36"/>
        <v>1666.6666666666667</v>
      </c>
      <c r="S147" s="25">
        <f t="shared" si="36"/>
        <v>1666.6666666666667</v>
      </c>
      <c r="T147" s="25">
        <f t="shared" si="36"/>
        <v>8333.3333333333339</v>
      </c>
      <c r="U147" s="25">
        <f t="shared" si="36"/>
        <v>8333.3333333333339</v>
      </c>
      <c r="V147" s="25">
        <f t="shared" si="36"/>
        <v>8333.3333333333339</v>
      </c>
      <c r="W147" s="25">
        <f t="shared" si="36"/>
        <v>8333.3333333333339</v>
      </c>
      <c r="X147" s="25">
        <f t="shared" si="36"/>
        <v>8333.3333333333339</v>
      </c>
      <c r="Y147" s="25">
        <f t="shared" si="36"/>
        <v>8333.3333333333339</v>
      </c>
      <c r="Z147" s="25">
        <f t="shared" si="36"/>
        <v>8333.3333333333339</v>
      </c>
      <c r="AA147" s="25">
        <f t="shared" si="36"/>
        <v>8333.3333333333339</v>
      </c>
      <c r="AB147" s="25">
        <f t="shared" si="36"/>
        <v>8333.3333333333339</v>
      </c>
      <c r="AC147" s="25">
        <f t="shared" si="36"/>
        <v>8333.3333333333339</v>
      </c>
      <c r="AD147" s="25">
        <f t="shared" si="36"/>
        <v>8333.3333333333339</v>
      </c>
      <c r="AE147" s="25">
        <f t="shared" si="36"/>
        <v>8333.3333333333339</v>
      </c>
      <c r="AF147" s="25">
        <f t="shared" si="36"/>
        <v>16666.666666666668</v>
      </c>
      <c r="AG147" s="25">
        <f t="shared" si="36"/>
        <v>16666.666666666668</v>
      </c>
      <c r="AH147" s="25">
        <f t="shared" si="36"/>
        <v>16666.666666666668</v>
      </c>
      <c r="AI147" s="25">
        <f t="shared" si="36"/>
        <v>16666.666666666668</v>
      </c>
      <c r="AJ147" s="25">
        <f t="shared" si="36"/>
        <v>16666.666666666668</v>
      </c>
      <c r="AK147" s="25">
        <f t="shared" si="36"/>
        <v>16666.666666666668</v>
      </c>
      <c r="AL147" s="25">
        <f t="shared" si="36"/>
        <v>16666.666666666668</v>
      </c>
      <c r="AM147" s="25">
        <f t="shared" si="36"/>
        <v>16666.666666666668</v>
      </c>
      <c r="AN147" s="25">
        <f t="shared" si="36"/>
        <v>16666.666666666668</v>
      </c>
      <c r="AO147" s="25">
        <f t="shared" si="36"/>
        <v>16666.666666666668</v>
      </c>
      <c r="AP147" s="25">
        <f t="shared" si="36"/>
        <v>16666.666666666668</v>
      </c>
      <c r="AQ147" s="25">
        <f t="shared" si="36"/>
        <v>16666.666666666668</v>
      </c>
      <c r="AR147" s="25">
        <f t="shared" si="36"/>
        <v>26666.666666666668</v>
      </c>
      <c r="AS147" s="25">
        <f t="shared" si="36"/>
        <v>26666.666666666668</v>
      </c>
      <c r="AT147" s="25">
        <f t="shared" si="36"/>
        <v>26666.666666666668</v>
      </c>
      <c r="AU147" s="25">
        <f t="shared" si="36"/>
        <v>26666.666666666668</v>
      </c>
      <c r="AV147" s="25">
        <f t="shared" si="36"/>
        <v>26666.666666666668</v>
      </c>
      <c r="AW147" s="25">
        <f t="shared" si="36"/>
        <v>26666.666666666668</v>
      </c>
      <c r="AX147" s="25">
        <f t="shared" si="36"/>
        <v>26666.666666666668</v>
      </c>
      <c r="AY147" s="25">
        <f t="shared" si="36"/>
        <v>26666.666666666668</v>
      </c>
      <c r="AZ147" s="25">
        <f t="shared" si="36"/>
        <v>26666.666666666668</v>
      </c>
      <c r="BA147" s="25">
        <f t="shared" si="36"/>
        <v>26666.666666666668</v>
      </c>
      <c r="BB147" s="25">
        <f t="shared" si="36"/>
        <v>26666.666666666668</v>
      </c>
      <c r="BC147" s="25">
        <f t="shared" si="36"/>
        <v>26666.666666666668</v>
      </c>
      <c r="BD147" s="25">
        <f t="shared" si="36"/>
        <v>38333.333333333336</v>
      </c>
      <c r="BE147" s="25">
        <f t="shared" si="36"/>
        <v>38333.333333333336</v>
      </c>
      <c r="BF147" s="25">
        <f t="shared" si="36"/>
        <v>38333.333333333336</v>
      </c>
      <c r="BG147" s="25">
        <f t="shared" si="36"/>
        <v>38333.333333333336</v>
      </c>
      <c r="BH147" s="25">
        <f t="shared" si="36"/>
        <v>38333.333333333336</v>
      </c>
      <c r="BI147" s="25">
        <f t="shared" si="36"/>
        <v>38333.333333333336</v>
      </c>
      <c r="BJ147" s="25">
        <f t="shared" si="36"/>
        <v>38333.333333333336</v>
      </c>
      <c r="BK147" s="25">
        <f t="shared" si="36"/>
        <v>38333.333333333336</v>
      </c>
      <c r="BL147" s="25">
        <f t="shared" si="36"/>
        <v>38333.333333333336</v>
      </c>
      <c r="BM147" s="25">
        <f t="shared" si="36"/>
        <v>38333.333333333336</v>
      </c>
      <c r="BN147" s="25">
        <f t="shared" si="36"/>
        <v>38333.333333333336</v>
      </c>
      <c r="BO147" s="25">
        <f t="shared" si="36"/>
        <v>38333.333333333336</v>
      </c>
    </row>
    <row r="148" spans="1:67" x14ac:dyDescent="0.25">
      <c r="A148" s="213"/>
      <c r="B148" s="202"/>
    </row>
    <row r="149" spans="1:67" s="25" customFormat="1" x14ac:dyDescent="0.25">
      <c r="A149" s="25" t="s">
        <v>251</v>
      </c>
      <c r="B149" s="202">
        <f>SUM(D149:AQ149)</f>
        <v>1075375</v>
      </c>
      <c r="D149" s="25">
        <f>SUM(D132,D140,D147)</f>
        <v>0</v>
      </c>
      <c r="E149" s="25">
        <f t="shared" ref="E149:BO149" si="37">SUM(E132,E140,E147)</f>
        <v>0</v>
      </c>
      <c r="F149" s="25">
        <f t="shared" si="37"/>
        <v>0</v>
      </c>
      <c r="G149" s="25">
        <f t="shared" si="37"/>
        <v>0</v>
      </c>
      <c r="H149" s="25">
        <f t="shared" si="37"/>
        <v>5000</v>
      </c>
      <c r="I149" s="25">
        <f t="shared" si="37"/>
        <v>5416.666666666667</v>
      </c>
      <c r="J149" s="25">
        <f t="shared" si="37"/>
        <v>5833.3333333333339</v>
      </c>
      <c r="K149" s="25">
        <f t="shared" si="37"/>
        <v>6666.666666666667</v>
      </c>
      <c r="L149" s="25">
        <f t="shared" si="37"/>
        <v>7083.333333333333</v>
      </c>
      <c r="M149" s="25">
        <f t="shared" si="37"/>
        <v>7500.0000000000009</v>
      </c>
      <c r="N149" s="25">
        <f t="shared" si="37"/>
        <v>7916.666666666667</v>
      </c>
      <c r="O149" s="25">
        <f t="shared" si="37"/>
        <v>8333.3333333333339</v>
      </c>
      <c r="P149" s="25">
        <f t="shared" si="37"/>
        <v>9583.3333333333339</v>
      </c>
      <c r="Q149" s="25">
        <f t="shared" si="37"/>
        <v>10000</v>
      </c>
      <c r="R149" s="25">
        <f t="shared" si="37"/>
        <v>10416.666666666666</v>
      </c>
      <c r="S149" s="25">
        <f t="shared" si="37"/>
        <v>10833.333333333334</v>
      </c>
      <c r="T149" s="25">
        <f t="shared" si="37"/>
        <v>23437.5</v>
      </c>
      <c r="U149" s="25">
        <f t="shared" si="37"/>
        <v>24479.166666666672</v>
      </c>
      <c r="V149" s="25">
        <f t="shared" si="37"/>
        <v>25000</v>
      </c>
      <c r="W149" s="25">
        <f t="shared" si="37"/>
        <v>25520.833333333336</v>
      </c>
      <c r="X149" s="25">
        <f t="shared" si="37"/>
        <v>26041.666666666672</v>
      </c>
      <c r="Y149" s="25">
        <f t="shared" si="37"/>
        <v>26562.5</v>
      </c>
      <c r="Z149" s="25">
        <f t="shared" si="37"/>
        <v>28125</v>
      </c>
      <c r="AA149" s="25">
        <f t="shared" si="37"/>
        <v>28645.833333333336</v>
      </c>
      <c r="AB149" s="25">
        <f t="shared" si="37"/>
        <v>29166.666666666672</v>
      </c>
      <c r="AC149" s="25">
        <f t="shared" si="37"/>
        <v>29687.5</v>
      </c>
      <c r="AD149" s="25">
        <f t="shared" si="37"/>
        <v>30208.333333333336</v>
      </c>
      <c r="AE149" s="25">
        <f t="shared" si="37"/>
        <v>31250.000000000007</v>
      </c>
      <c r="AF149" s="25">
        <f t="shared" si="37"/>
        <v>49666.666666666672</v>
      </c>
      <c r="AG149" s="25">
        <f t="shared" si="37"/>
        <v>50333.333333333328</v>
      </c>
      <c r="AH149" s="25">
        <f t="shared" si="37"/>
        <v>51000</v>
      </c>
      <c r="AI149" s="25">
        <f t="shared" si="37"/>
        <v>51666.666666666672</v>
      </c>
      <c r="AJ149" s="25">
        <f t="shared" si="37"/>
        <v>53666.666666666672</v>
      </c>
      <c r="AK149" s="25">
        <f t="shared" si="37"/>
        <v>54333.333333333343</v>
      </c>
      <c r="AL149" s="25">
        <f t="shared" si="37"/>
        <v>55000</v>
      </c>
      <c r="AM149" s="25">
        <f t="shared" si="37"/>
        <v>55666.666666666672</v>
      </c>
      <c r="AN149" s="25">
        <f t="shared" si="37"/>
        <v>56333.333333333343</v>
      </c>
      <c r="AO149" s="25">
        <f t="shared" si="37"/>
        <v>57666.666666666672</v>
      </c>
      <c r="AP149" s="25">
        <f t="shared" si="37"/>
        <v>58333.333333333343</v>
      </c>
      <c r="AQ149" s="25">
        <f t="shared" si="37"/>
        <v>59000</v>
      </c>
      <c r="AR149" s="25">
        <f t="shared" si="37"/>
        <v>89833.333333333343</v>
      </c>
      <c r="AS149" s="25">
        <f t="shared" si="37"/>
        <v>90791.666666666672</v>
      </c>
      <c r="AT149" s="25">
        <f t="shared" si="37"/>
        <v>93666.666666666686</v>
      </c>
      <c r="AU149" s="25">
        <f t="shared" si="37"/>
        <v>94625.000000000015</v>
      </c>
      <c r="AV149" s="25">
        <f t="shared" si="37"/>
        <v>95583.333333333343</v>
      </c>
      <c r="AW149" s="25">
        <f t="shared" si="37"/>
        <v>96541.666666666686</v>
      </c>
      <c r="AX149" s="25">
        <f t="shared" si="37"/>
        <v>97500.000000000015</v>
      </c>
      <c r="AY149" s="25">
        <f t="shared" si="37"/>
        <v>99416.666666666672</v>
      </c>
      <c r="AZ149" s="25">
        <f t="shared" si="37"/>
        <v>100375.00000000001</v>
      </c>
      <c r="BA149" s="25">
        <f t="shared" si="37"/>
        <v>101333.33333333334</v>
      </c>
      <c r="BB149" s="25">
        <f t="shared" si="37"/>
        <v>102291.66666666667</v>
      </c>
      <c r="BC149" s="25">
        <f t="shared" si="37"/>
        <v>103250.00000000001</v>
      </c>
      <c r="BD149" s="25">
        <f t="shared" si="37"/>
        <v>143750</v>
      </c>
      <c r="BE149" s="25">
        <f t="shared" si="37"/>
        <v>145000</v>
      </c>
      <c r="BF149" s="25">
        <f t="shared" si="37"/>
        <v>146250</v>
      </c>
      <c r="BG149" s="25">
        <f t="shared" si="37"/>
        <v>147500</v>
      </c>
      <c r="BH149" s="25">
        <f t="shared" si="37"/>
        <v>148750</v>
      </c>
      <c r="BI149" s="25">
        <f t="shared" si="37"/>
        <v>151250</v>
      </c>
      <c r="BJ149" s="25">
        <f t="shared" si="37"/>
        <v>152500</v>
      </c>
      <c r="BK149" s="25">
        <f t="shared" si="37"/>
        <v>153750</v>
      </c>
      <c r="BL149" s="25">
        <f t="shared" si="37"/>
        <v>155000</v>
      </c>
      <c r="BM149" s="25">
        <f t="shared" si="37"/>
        <v>156250</v>
      </c>
      <c r="BN149" s="25">
        <f t="shared" si="37"/>
        <v>160000</v>
      </c>
      <c r="BO149" s="25">
        <f t="shared" si="37"/>
        <v>161250</v>
      </c>
    </row>
    <row r="150" spans="1:67" s="224" customFormat="1" x14ac:dyDescent="0.25">
      <c r="A150" s="224" t="s">
        <v>252</v>
      </c>
      <c r="B150" s="225">
        <f t="shared" ref="B150" si="38">MAX(D150:AQ150)</f>
        <v>1075375</v>
      </c>
      <c r="C150" s="183"/>
      <c r="D150" s="224">
        <f>D149</f>
        <v>0</v>
      </c>
      <c r="E150" s="224">
        <f>E149+D150</f>
        <v>0</v>
      </c>
      <c r="F150" s="224">
        <f t="shared" ref="F150:BO150" si="39">F149+E150</f>
        <v>0</v>
      </c>
      <c r="G150" s="224">
        <f t="shared" si="39"/>
        <v>0</v>
      </c>
      <c r="H150" s="224">
        <f t="shared" si="39"/>
        <v>5000</v>
      </c>
      <c r="I150" s="224">
        <f t="shared" si="39"/>
        <v>10416.666666666668</v>
      </c>
      <c r="J150" s="224">
        <f t="shared" si="39"/>
        <v>16250.000000000002</v>
      </c>
      <c r="K150" s="224">
        <f t="shared" si="39"/>
        <v>22916.666666666668</v>
      </c>
      <c r="L150" s="224">
        <f t="shared" si="39"/>
        <v>30000</v>
      </c>
      <c r="M150" s="224">
        <f t="shared" si="39"/>
        <v>37500</v>
      </c>
      <c r="N150" s="224">
        <f t="shared" si="39"/>
        <v>45416.666666666664</v>
      </c>
      <c r="O150" s="224">
        <f t="shared" si="39"/>
        <v>53750</v>
      </c>
      <c r="P150" s="224">
        <f t="shared" si="39"/>
        <v>63333.333333333336</v>
      </c>
      <c r="Q150" s="224">
        <f t="shared" si="39"/>
        <v>73333.333333333343</v>
      </c>
      <c r="R150" s="224">
        <f t="shared" si="39"/>
        <v>83750.000000000015</v>
      </c>
      <c r="S150" s="224">
        <f t="shared" si="39"/>
        <v>94583.333333333343</v>
      </c>
      <c r="T150" s="224">
        <f t="shared" si="39"/>
        <v>118020.83333333334</v>
      </c>
      <c r="U150" s="224">
        <f t="shared" si="39"/>
        <v>142500</v>
      </c>
      <c r="V150" s="224">
        <f t="shared" si="39"/>
        <v>167500</v>
      </c>
      <c r="W150" s="224">
        <f t="shared" si="39"/>
        <v>193020.83333333334</v>
      </c>
      <c r="X150" s="224">
        <f t="shared" si="39"/>
        <v>219062.5</v>
      </c>
      <c r="Y150" s="224">
        <f t="shared" si="39"/>
        <v>245625</v>
      </c>
      <c r="Z150" s="224">
        <f t="shared" si="39"/>
        <v>273750</v>
      </c>
      <c r="AA150" s="224">
        <f t="shared" si="39"/>
        <v>302395.83333333331</v>
      </c>
      <c r="AB150" s="224">
        <f t="shared" si="39"/>
        <v>331562.5</v>
      </c>
      <c r="AC150" s="224">
        <f t="shared" si="39"/>
        <v>361250</v>
      </c>
      <c r="AD150" s="224">
        <f t="shared" si="39"/>
        <v>391458.33333333331</v>
      </c>
      <c r="AE150" s="224">
        <f t="shared" si="39"/>
        <v>422708.33333333331</v>
      </c>
      <c r="AF150" s="224">
        <f t="shared" si="39"/>
        <v>472375</v>
      </c>
      <c r="AG150" s="224">
        <f t="shared" si="39"/>
        <v>522708.33333333331</v>
      </c>
      <c r="AH150" s="224">
        <f t="shared" si="39"/>
        <v>573708.33333333326</v>
      </c>
      <c r="AI150" s="224">
        <f t="shared" si="39"/>
        <v>625374.99999999988</v>
      </c>
      <c r="AJ150" s="224">
        <f t="shared" si="39"/>
        <v>679041.66666666651</v>
      </c>
      <c r="AK150" s="224">
        <f t="shared" si="39"/>
        <v>733374.99999999988</v>
      </c>
      <c r="AL150" s="224">
        <f t="shared" si="39"/>
        <v>788374.99999999988</v>
      </c>
      <c r="AM150" s="224">
        <f t="shared" si="39"/>
        <v>844041.66666666651</v>
      </c>
      <c r="AN150" s="224">
        <f t="shared" si="39"/>
        <v>900374.99999999988</v>
      </c>
      <c r="AO150" s="224">
        <f t="shared" si="39"/>
        <v>958041.66666666651</v>
      </c>
      <c r="AP150" s="224">
        <f t="shared" si="39"/>
        <v>1016374.9999999999</v>
      </c>
      <c r="AQ150" s="224">
        <f t="shared" si="39"/>
        <v>1075375</v>
      </c>
      <c r="AR150" s="224">
        <f t="shared" si="39"/>
        <v>1165208.3333333333</v>
      </c>
      <c r="AS150" s="224">
        <f t="shared" si="39"/>
        <v>1256000</v>
      </c>
      <c r="AT150" s="224">
        <f t="shared" si="39"/>
        <v>1349666.6666666667</v>
      </c>
      <c r="AU150" s="224">
        <f t="shared" si="39"/>
        <v>1444291.6666666667</v>
      </c>
      <c r="AV150" s="224">
        <f t="shared" si="39"/>
        <v>1539875</v>
      </c>
      <c r="AW150" s="224">
        <f t="shared" si="39"/>
        <v>1636416.6666666667</v>
      </c>
      <c r="AX150" s="224">
        <f t="shared" si="39"/>
        <v>1733916.6666666667</v>
      </c>
      <c r="AY150" s="224">
        <f t="shared" si="39"/>
        <v>1833333.3333333335</v>
      </c>
      <c r="AZ150" s="224">
        <f t="shared" si="39"/>
        <v>1933708.3333333335</v>
      </c>
      <c r="BA150" s="224">
        <f t="shared" si="39"/>
        <v>2035041.6666666667</v>
      </c>
      <c r="BB150" s="224">
        <f t="shared" si="39"/>
        <v>2137333.3333333335</v>
      </c>
      <c r="BC150" s="224">
        <f t="shared" si="39"/>
        <v>2240583.3333333335</v>
      </c>
      <c r="BD150" s="224">
        <f t="shared" si="39"/>
        <v>2384333.3333333335</v>
      </c>
      <c r="BE150" s="224">
        <f t="shared" si="39"/>
        <v>2529333.3333333335</v>
      </c>
      <c r="BF150" s="224">
        <f t="shared" si="39"/>
        <v>2675583.3333333335</v>
      </c>
      <c r="BG150" s="224">
        <f t="shared" si="39"/>
        <v>2823083.3333333335</v>
      </c>
      <c r="BH150" s="224">
        <f t="shared" si="39"/>
        <v>2971833.3333333335</v>
      </c>
      <c r="BI150" s="224">
        <f t="shared" si="39"/>
        <v>3123083.3333333335</v>
      </c>
      <c r="BJ150" s="224">
        <f t="shared" si="39"/>
        <v>3275583.3333333335</v>
      </c>
      <c r="BK150" s="224">
        <f t="shared" si="39"/>
        <v>3429333.3333333335</v>
      </c>
      <c r="BL150" s="224">
        <f t="shared" si="39"/>
        <v>3584333.3333333335</v>
      </c>
      <c r="BM150" s="224">
        <f t="shared" si="39"/>
        <v>3740583.3333333335</v>
      </c>
      <c r="BN150" s="224">
        <f t="shared" si="39"/>
        <v>3900583.3333333335</v>
      </c>
      <c r="BO150" s="224">
        <f t="shared" si="39"/>
        <v>4061833.3333333335</v>
      </c>
    </row>
    <row r="151" spans="1:67" s="162" customFormat="1" x14ac:dyDescent="0.25">
      <c r="A151" s="159" t="s">
        <v>253</v>
      </c>
      <c r="B151" s="202"/>
      <c r="C151" s="161"/>
      <c r="D151" s="161"/>
      <c r="E151" s="161"/>
      <c r="F151" s="161"/>
      <c r="G151" s="161"/>
    </row>
    <row r="152" spans="1:67" x14ac:dyDescent="0.25">
      <c r="A152" s="197"/>
      <c r="B152" s="202"/>
    </row>
    <row r="153" spans="1:67" x14ac:dyDescent="0.25">
      <c r="A153" s="197" t="s">
        <v>153</v>
      </c>
      <c r="B153" s="202"/>
    </row>
    <row r="154" spans="1:67" x14ac:dyDescent="0.25">
      <c r="A154" s="213" t="str">
        <f>Assumptions!$J$3</f>
        <v>Head of Sales</v>
      </c>
      <c r="B154" s="202"/>
      <c r="H154" s="51">
        <f>(Assumptions!$N3/12)+(Assumptions!$N3/12)*Assumptions!$K$48</f>
        <v>250</v>
      </c>
      <c r="I154" s="51">
        <f>(Assumptions!$N3/12)+(Assumptions!$N3/12)*Assumptions!$K$48</f>
        <v>250</v>
      </c>
      <c r="J154" s="51">
        <f>(Assumptions!$N3/12)+(Assumptions!$N3/12)*Assumptions!$K$48</f>
        <v>250</v>
      </c>
      <c r="K154" s="51">
        <f>(Assumptions!$N3/12)+(Assumptions!$N3/12)*Assumptions!$K$48</f>
        <v>250</v>
      </c>
      <c r="L154" s="51">
        <f>(Assumptions!$N3/12)+(Assumptions!$N3/12)*Assumptions!$K$48</f>
        <v>250</v>
      </c>
      <c r="M154" s="51">
        <f>(Assumptions!$N3/12)+(Assumptions!$N3/12)*Assumptions!$K$48</f>
        <v>250</v>
      </c>
      <c r="N154" s="51">
        <f>(Assumptions!$N3/12)+(Assumptions!$N3/12)*Assumptions!$K$48</f>
        <v>250</v>
      </c>
      <c r="O154" s="51">
        <f>(Assumptions!$N3/12)+(Assumptions!$N3/12)*Assumptions!$K$48</f>
        <v>250</v>
      </c>
      <c r="P154" s="51">
        <f>(Assumptions!$N3/12)+(Assumptions!$N3/12)*Assumptions!$K$48</f>
        <v>250</v>
      </c>
      <c r="Q154" s="51">
        <f>(Assumptions!$N3/12)+(Assumptions!$N3/12)*Assumptions!$K$48</f>
        <v>250</v>
      </c>
      <c r="R154" s="51">
        <f>(Assumptions!$N3/12)+(Assumptions!$N3/12)*Assumptions!$K$48</f>
        <v>250</v>
      </c>
      <c r="S154" s="51">
        <f>(Assumptions!$N3/12)+(Assumptions!$N3/12)*Assumptions!$K$48</f>
        <v>250</v>
      </c>
      <c r="T154" s="51">
        <f>(Assumptions!$N3/12)+(Assumptions!$N3/12)*Assumptions!$L$48</f>
        <v>312.5</v>
      </c>
      <c r="U154" s="51">
        <f>(Assumptions!$N3/12)+(Assumptions!$N3/12)*Assumptions!$L$48</f>
        <v>312.5</v>
      </c>
      <c r="V154" s="51">
        <f>(Assumptions!$N3/12)+(Assumptions!$N3/12)*Assumptions!$L$48</f>
        <v>312.5</v>
      </c>
      <c r="W154" s="51">
        <f>(Assumptions!$N3/12)+(Assumptions!$N3/12)*Assumptions!$L$48</f>
        <v>312.5</v>
      </c>
      <c r="X154" s="51">
        <f>(Assumptions!$N3/12)+(Assumptions!$N3/12)*Assumptions!$L$48</f>
        <v>312.5</v>
      </c>
      <c r="Y154" s="51">
        <f>(Assumptions!$N3/12)+(Assumptions!$N3/12)*Assumptions!$L$48</f>
        <v>312.5</v>
      </c>
      <c r="Z154" s="51">
        <f>(Assumptions!$N3/12)+(Assumptions!$N3/12)*Assumptions!$L$48</f>
        <v>312.5</v>
      </c>
      <c r="AA154" s="51">
        <f>(Assumptions!$N3/12)+(Assumptions!$N3/12)*Assumptions!$L$48</f>
        <v>312.5</v>
      </c>
      <c r="AB154" s="51">
        <f>(Assumptions!$N3/12)+(Assumptions!$N3/12)*Assumptions!$L$48</f>
        <v>312.5</v>
      </c>
      <c r="AC154" s="51">
        <f>(Assumptions!$N3/12)+(Assumptions!$N3/12)*Assumptions!$L$48</f>
        <v>312.5</v>
      </c>
      <c r="AD154" s="51">
        <f>(Assumptions!$N3/12)+(Assumptions!$N3/12)*Assumptions!$L$48</f>
        <v>312.5</v>
      </c>
      <c r="AE154" s="51">
        <f>(Assumptions!$N3/12)+(Assumptions!$N3/12)*Assumptions!$L$48</f>
        <v>312.5</v>
      </c>
      <c r="AF154" s="51">
        <f>(Assumptions!$N3/12)+(Assumptions!$N3/12)*Assumptions!$M$48</f>
        <v>400</v>
      </c>
      <c r="AG154" s="51">
        <f>(Assumptions!$N3/12)+(Assumptions!$N3/12)*Assumptions!$M$48</f>
        <v>400</v>
      </c>
      <c r="AH154" s="51">
        <f>(Assumptions!$N3/12)+(Assumptions!$N3/12)*Assumptions!$M$48</f>
        <v>400</v>
      </c>
      <c r="AI154" s="51">
        <f>(Assumptions!$N3/12)+(Assumptions!$N3/12)*Assumptions!$M$48</f>
        <v>400</v>
      </c>
      <c r="AJ154" s="51">
        <f>(Assumptions!$N3/12)+(Assumptions!$N3/12)*Assumptions!$M$48</f>
        <v>400</v>
      </c>
      <c r="AK154" s="51">
        <f>(Assumptions!$N3/12)+(Assumptions!$N3/12)*Assumptions!$M$48</f>
        <v>400</v>
      </c>
      <c r="AL154" s="51">
        <f>(Assumptions!$N3/12)+(Assumptions!$N3/12)*Assumptions!$M$48</f>
        <v>400</v>
      </c>
      <c r="AM154" s="51">
        <f>(Assumptions!$N3/12)+(Assumptions!$N3/12)*Assumptions!$M$48</f>
        <v>400</v>
      </c>
      <c r="AN154" s="51">
        <f>(Assumptions!$N3/12)+(Assumptions!$N3/12)*Assumptions!$M$48</f>
        <v>400</v>
      </c>
      <c r="AO154" s="51">
        <f>(Assumptions!$N3/12)+(Assumptions!$N3/12)*Assumptions!$M$48</f>
        <v>400</v>
      </c>
      <c r="AP154" s="51">
        <f>(Assumptions!$N3/12)+(Assumptions!$N3/12)*Assumptions!$M$48</f>
        <v>400</v>
      </c>
      <c r="AQ154" s="51">
        <f>(Assumptions!$N3/12)+(Assumptions!$N3/12)*Assumptions!$M$48</f>
        <v>400</v>
      </c>
      <c r="AR154" s="51">
        <f>(Assumptions!$N3/12)+(Assumptions!$N3/12)*Assumptions!$N$48</f>
        <v>575</v>
      </c>
      <c r="AS154" s="51">
        <f>(Assumptions!$N3/12)+(Assumptions!$N3/12)*Assumptions!$N$48</f>
        <v>575</v>
      </c>
      <c r="AT154" s="51">
        <f>(Assumptions!$N3/12)+(Assumptions!$N3/12)*Assumptions!$N$48</f>
        <v>575</v>
      </c>
      <c r="AU154" s="51">
        <f>(Assumptions!$N3/12)+(Assumptions!$N3/12)*Assumptions!$N$48</f>
        <v>575</v>
      </c>
      <c r="AV154" s="51">
        <f>(Assumptions!$N3/12)+(Assumptions!$N3/12)*Assumptions!$N$48</f>
        <v>575</v>
      </c>
      <c r="AW154" s="51">
        <f>(Assumptions!$N3/12)+(Assumptions!$N3/12)*Assumptions!$N$48</f>
        <v>575</v>
      </c>
      <c r="AX154" s="51">
        <f>(Assumptions!$N3/12)+(Assumptions!$N3/12)*Assumptions!$N$48</f>
        <v>575</v>
      </c>
      <c r="AY154" s="51">
        <f>(Assumptions!$N3/12)+(Assumptions!$N3/12)*Assumptions!$N$48</f>
        <v>575</v>
      </c>
      <c r="AZ154" s="51">
        <f>(Assumptions!$N3/12)+(Assumptions!$N3/12)*Assumptions!$N$48</f>
        <v>575</v>
      </c>
      <c r="BA154" s="51">
        <f>(Assumptions!$N3/12)+(Assumptions!$N3/12)*Assumptions!$N$48</f>
        <v>575</v>
      </c>
      <c r="BB154" s="51">
        <f>(Assumptions!$N3/12)+(Assumptions!$N3/12)*Assumptions!$N$48</f>
        <v>575</v>
      </c>
      <c r="BC154" s="51">
        <f>(Assumptions!$N3/12)+(Assumptions!$N3/12)*Assumptions!$N$48</f>
        <v>575</v>
      </c>
      <c r="BD154" s="51">
        <f>(Assumptions!$N3/12)+(Assumptions!$N3/12)*Assumptions!$O$48</f>
        <v>750</v>
      </c>
      <c r="BE154" s="51">
        <f>(Assumptions!$N3/12)+(Assumptions!$N3/12)*Assumptions!$O$48</f>
        <v>750</v>
      </c>
      <c r="BF154" s="51">
        <f>(Assumptions!$N3/12)+(Assumptions!$N3/12)*Assumptions!$O$48</f>
        <v>750</v>
      </c>
      <c r="BG154" s="51">
        <f>(Assumptions!$N3/12)+(Assumptions!$N3/12)*Assumptions!$O$48</f>
        <v>750</v>
      </c>
      <c r="BH154" s="51">
        <f>(Assumptions!$N3/12)+(Assumptions!$N3/12)*Assumptions!$O$48</f>
        <v>750</v>
      </c>
      <c r="BI154" s="51">
        <f>(Assumptions!$N3/12)+(Assumptions!$N3/12)*Assumptions!$O$48</f>
        <v>750</v>
      </c>
      <c r="BJ154" s="51">
        <f>(Assumptions!$N3/12)+(Assumptions!$N3/12)*Assumptions!$O$48</f>
        <v>750</v>
      </c>
      <c r="BK154" s="51">
        <f>(Assumptions!$N3/12)+(Assumptions!$N3/12)*Assumptions!$O$48</f>
        <v>750</v>
      </c>
      <c r="BL154" s="51">
        <f>(Assumptions!$N3/12)+(Assumptions!$N3/12)*Assumptions!$O$48</f>
        <v>750</v>
      </c>
      <c r="BM154" s="51">
        <f>(Assumptions!$N3/12)+(Assumptions!$N3/12)*Assumptions!$O$48</f>
        <v>750</v>
      </c>
      <c r="BN154" s="51">
        <f>(Assumptions!$N3/12)+(Assumptions!$N3/12)*Assumptions!$O$48</f>
        <v>750</v>
      </c>
      <c r="BO154" s="51">
        <f>(Assumptions!$N3/12)+(Assumptions!$N3/12)*Assumptions!$O$48</f>
        <v>750</v>
      </c>
    </row>
    <row r="155" spans="1:67" s="217" customFormat="1" x14ac:dyDescent="0.25">
      <c r="A155" s="215" t="str">
        <f>Assumptions!$J$4</f>
        <v>Sales Person</v>
      </c>
      <c r="B155" s="216"/>
      <c r="H155" s="219">
        <f>((Assumptions!$N4/12)*H$10)+((Assumptions!$N4/12)*H$10)*Assumptions!$K$48</f>
        <v>500</v>
      </c>
      <c r="I155" s="219">
        <f>((Assumptions!$N4/12)*I$10)+((Assumptions!$N4/12)*I$10)*Assumptions!$K$48</f>
        <v>750</v>
      </c>
      <c r="J155" s="219">
        <f>((Assumptions!$N4/12)*J$10)+((Assumptions!$N4/12)*J$10)*Assumptions!$K$48</f>
        <v>1000</v>
      </c>
      <c r="K155" s="219">
        <f>((Assumptions!$N4/12)*K$10)+((Assumptions!$N4/12)*K$10)*Assumptions!$K$48</f>
        <v>1250</v>
      </c>
      <c r="L155" s="219">
        <f>((Assumptions!$N4/12)*L$10)+((Assumptions!$N4/12)*L$10)*Assumptions!$K$48</f>
        <v>1500</v>
      </c>
      <c r="M155" s="219">
        <f>((Assumptions!$N4/12)*M$10)+((Assumptions!$N4/12)*M$10)*Assumptions!$K$48</f>
        <v>1750</v>
      </c>
      <c r="N155" s="219">
        <f>((Assumptions!$N4/12)*N$10)+((Assumptions!$N4/12)*N$10)*Assumptions!$K$48</f>
        <v>2000</v>
      </c>
      <c r="O155" s="219">
        <f>((Assumptions!$N4/12)*O$10)+((Assumptions!$N4/12)*O$10)*Assumptions!$K$48</f>
        <v>2250</v>
      </c>
      <c r="P155" s="219">
        <f>((Assumptions!$N4/12)*P$10)+((Assumptions!$N4/12)*P$10)*Assumptions!$K$48</f>
        <v>2500</v>
      </c>
      <c r="Q155" s="219">
        <f>((Assumptions!$N4/12)*Q$10)+((Assumptions!$N4/12)*Q$10)*Assumptions!$K$48</f>
        <v>2750</v>
      </c>
      <c r="R155" s="219">
        <f>((Assumptions!$N4/12)*R$10)+((Assumptions!$N4/12)*R$10)*Assumptions!$K$48</f>
        <v>3000</v>
      </c>
      <c r="S155" s="219">
        <f>((Assumptions!$N4/12)*S$10)+((Assumptions!$N4/12)*S$10)*Assumptions!$K$48</f>
        <v>3250</v>
      </c>
      <c r="T155" s="219">
        <f>((Assumptions!$N4/12)*T$10)+((Assumptions!$N4/12)*T$10)*Assumptions!$L$48</f>
        <v>4375</v>
      </c>
      <c r="U155" s="219">
        <f>((Assumptions!$N4/12)*U$10)+((Assumptions!$N4/12)*U$10)*Assumptions!$L$48</f>
        <v>4687.5</v>
      </c>
      <c r="V155" s="219">
        <f>((Assumptions!$N4/12)*V$10)+((Assumptions!$N4/12)*V$10)*Assumptions!$L$48</f>
        <v>5000</v>
      </c>
      <c r="W155" s="219">
        <f>((Assumptions!$N4/12)*W$10)+((Assumptions!$N4/12)*W$10)*Assumptions!$L$48</f>
        <v>5312.5</v>
      </c>
      <c r="X155" s="219">
        <f>((Assumptions!$N4/12)*X$10)+((Assumptions!$N4/12)*X$10)*Assumptions!$L$48</f>
        <v>5625</v>
      </c>
      <c r="Y155" s="219">
        <f>((Assumptions!$N4/12)*Y$10)+((Assumptions!$N4/12)*Y$10)*Assumptions!$L$48</f>
        <v>5937.5</v>
      </c>
      <c r="Z155" s="219">
        <f>((Assumptions!$N4/12)*Z$10)+((Assumptions!$N4/12)*Z$10)*Assumptions!$L$48</f>
        <v>6250</v>
      </c>
      <c r="AA155" s="219">
        <f>((Assumptions!$N4/12)*AA$10)+((Assumptions!$N4/12)*AA$10)*Assumptions!$L$48</f>
        <v>6562.5</v>
      </c>
      <c r="AB155" s="219">
        <f>((Assumptions!$N4/12)*AB$10)+((Assumptions!$N4/12)*AB$10)*Assumptions!$L$48</f>
        <v>6875</v>
      </c>
      <c r="AC155" s="219">
        <f>((Assumptions!$N4/12)*AC$10)+((Assumptions!$N4/12)*AC$10)*Assumptions!$L$48</f>
        <v>7187.5</v>
      </c>
      <c r="AD155" s="219">
        <f>((Assumptions!$N4/12)*AD$10)+((Assumptions!$N4/12)*AD$10)*Assumptions!$L$48</f>
        <v>7500</v>
      </c>
      <c r="AE155" s="219">
        <f>((Assumptions!$N4/12)*AE$10)+((Assumptions!$N4/12)*AE$10)*Assumptions!$L$48</f>
        <v>7812.5</v>
      </c>
      <c r="AF155" s="219">
        <f>((Assumptions!$N4/12)*AF$10)+((Assumptions!$N4/12)*AF$10)*Assumptions!$M$48</f>
        <v>10400</v>
      </c>
      <c r="AG155" s="219">
        <f>((Assumptions!$N4/12)*AG$10)+((Assumptions!$N4/12)*AG$10)*Assumptions!$M$48</f>
        <v>10800</v>
      </c>
      <c r="AH155" s="219">
        <f>((Assumptions!$N4/12)*AH$10)+((Assumptions!$N4/12)*AH$10)*Assumptions!$M$48</f>
        <v>11200</v>
      </c>
      <c r="AI155" s="219">
        <f>((Assumptions!$N4/12)*AI$10)+((Assumptions!$N4/12)*AI$10)*Assumptions!$M$48</f>
        <v>11600</v>
      </c>
      <c r="AJ155" s="219">
        <f>((Assumptions!$N4/12)*AJ$10)+((Assumptions!$N4/12)*AJ$10)*Assumptions!$M$48</f>
        <v>12000</v>
      </c>
      <c r="AK155" s="219">
        <f>((Assumptions!$N4/12)*AK$10)+((Assumptions!$N4/12)*AK$10)*Assumptions!$M$48</f>
        <v>12400</v>
      </c>
      <c r="AL155" s="219">
        <f>((Assumptions!$N4/12)*AL$10)+((Assumptions!$N4/12)*AL$10)*Assumptions!$M$48</f>
        <v>12800</v>
      </c>
      <c r="AM155" s="219">
        <f>((Assumptions!$N4/12)*AM$10)+((Assumptions!$N4/12)*AM$10)*Assumptions!$M$48</f>
        <v>13200</v>
      </c>
      <c r="AN155" s="219">
        <f>((Assumptions!$N4/12)*AN$10)+((Assumptions!$N4/12)*AN$10)*Assumptions!$M$48</f>
        <v>13600</v>
      </c>
      <c r="AO155" s="219">
        <f>((Assumptions!$N4/12)*AO$10)+((Assumptions!$N4/12)*AO$10)*Assumptions!$M$48</f>
        <v>14000</v>
      </c>
      <c r="AP155" s="219">
        <f>((Assumptions!$N4/12)*AP$10)+((Assumptions!$N4/12)*AP$10)*Assumptions!$M$48</f>
        <v>14400</v>
      </c>
      <c r="AQ155" s="219">
        <f>((Assumptions!$N4/12)*AQ$10)+((Assumptions!$N4/12)*AQ$10)*Assumptions!$M$48</f>
        <v>14800</v>
      </c>
      <c r="AR155" s="219">
        <f>((Assumptions!$N4/12)*AR$10)+((Assumptions!$N4/12)*AR$10)*Assumptions!$N$48</f>
        <v>21850</v>
      </c>
      <c r="AS155" s="219">
        <f>((Assumptions!$N4/12)*AS$10)+((Assumptions!$N4/12)*AS$10)*Assumptions!$N$48</f>
        <v>22425</v>
      </c>
      <c r="AT155" s="219">
        <f>((Assumptions!$N4/12)*AT$10)+((Assumptions!$N4/12)*AT$10)*Assumptions!$N$48</f>
        <v>23000</v>
      </c>
      <c r="AU155" s="219">
        <f>((Assumptions!$N4/12)*AU$10)+((Assumptions!$N4/12)*AU$10)*Assumptions!$N$48</f>
        <v>23575</v>
      </c>
      <c r="AV155" s="219">
        <f>((Assumptions!$N4/12)*AV$10)+((Assumptions!$N4/12)*AV$10)*Assumptions!$N$48</f>
        <v>24150</v>
      </c>
      <c r="AW155" s="219">
        <f>((Assumptions!$N4/12)*AW$10)+((Assumptions!$N4/12)*AW$10)*Assumptions!$N$48</f>
        <v>24725</v>
      </c>
      <c r="AX155" s="219">
        <f>((Assumptions!$N4/12)*AX$10)+((Assumptions!$N4/12)*AX$10)*Assumptions!$N$48</f>
        <v>25300</v>
      </c>
      <c r="AY155" s="219">
        <f>((Assumptions!$N4/12)*AY$10)+((Assumptions!$N4/12)*AY$10)*Assumptions!$N$48</f>
        <v>25875</v>
      </c>
      <c r="AZ155" s="219">
        <f>((Assumptions!$N4/12)*AZ$10)+((Assumptions!$N4/12)*AZ$10)*Assumptions!$N$48</f>
        <v>26450</v>
      </c>
      <c r="BA155" s="219">
        <f>((Assumptions!$N4/12)*BA$10)+((Assumptions!$N4/12)*BA$10)*Assumptions!$N$48</f>
        <v>27025</v>
      </c>
      <c r="BB155" s="219">
        <f>((Assumptions!$N4/12)*BB$10)+((Assumptions!$N4/12)*BB$10)*Assumptions!$N$48</f>
        <v>27600</v>
      </c>
      <c r="BC155" s="219">
        <f>((Assumptions!$N4/12)*BC$10)+((Assumptions!$N4/12)*BC$10)*Assumptions!$N$48</f>
        <v>28175</v>
      </c>
      <c r="BD155" s="219">
        <f>((Assumptions!$N4/12)*BD$10)+((Assumptions!$N4/12)*BD$10)*Assumptions!$O$48</f>
        <v>37500</v>
      </c>
      <c r="BE155" s="219">
        <f>((Assumptions!$N4/12)*BE$10)+((Assumptions!$N4/12)*BE$10)*Assumptions!$O$48</f>
        <v>38250</v>
      </c>
      <c r="BF155" s="219">
        <f>((Assumptions!$N4/12)*BF$10)+((Assumptions!$N4/12)*BF$10)*Assumptions!$O$48</f>
        <v>39000</v>
      </c>
      <c r="BG155" s="219">
        <f>((Assumptions!$N4/12)*BG$10)+((Assumptions!$N4/12)*BG$10)*Assumptions!$O$48</f>
        <v>39750</v>
      </c>
      <c r="BH155" s="219">
        <f>((Assumptions!$N4/12)*BH$10)+((Assumptions!$N4/12)*BH$10)*Assumptions!$O$48</f>
        <v>40500</v>
      </c>
      <c r="BI155" s="219">
        <f>((Assumptions!$N4/12)*BI$10)+((Assumptions!$N4/12)*BI$10)*Assumptions!$O$48</f>
        <v>41250</v>
      </c>
      <c r="BJ155" s="219">
        <f>((Assumptions!$N4/12)*BJ$10)+((Assumptions!$N4/12)*BJ$10)*Assumptions!$O$48</f>
        <v>42000</v>
      </c>
      <c r="BK155" s="219">
        <f>((Assumptions!$N4/12)*BK$10)+((Assumptions!$N4/12)*BK$10)*Assumptions!$O$48</f>
        <v>42750</v>
      </c>
      <c r="BL155" s="219">
        <f>((Assumptions!$N4/12)*BL$10)+((Assumptions!$N4/12)*BL$10)*Assumptions!$O$48</f>
        <v>43500</v>
      </c>
      <c r="BM155" s="219">
        <f>((Assumptions!$N4/12)*BM$10)+((Assumptions!$N4/12)*BM$10)*Assumptions!$O$48</f>
        <v>44250</v>
      </c>
      <c r="BN155" s="219">
        <f>((Assumptions!$N4/12)*BN$10)+((Assumptions!$N4/12)*BN$10)*Assumptions!$O$48</f>
        <v>45000</v>
      </c>
      <c r="BO155" s="219">
        <f>((Assumptions!$N4/12)*BO$10)+((Assumptions!$N4/12)*BO$10)*Assumptions!$O$48</f>
        <v>45750</v>
      </c>
    </row>
    <row r="156" spans="1:67" s="217" customFormat="1" x14ac:dyDescent="0.25">
      <c r="A156" s="215" t="str">
        <f>Assumptions!$J$5</f>
        <v>Pre Sales Person</v>
      </c>
      <c r="B156" s="216"/>
      <c r="H156" s="219">
        <f>((Assumptions!$N5/12)*H$13)+((Assumptions!$N5/12)*H$13)*Assumptions!$K$48</f>
        <v>0</v>
      </c>
      <c r="I156" s="219">
        <f>((Assumptions!$N5/12)*I$13)+((Assumptions!$N5/12)*I$13)*Assumptions!$K$48</f>
        <v>0</v>
      </c>
      <c r="J156" s="219">
        <f>((Assumptions!$N5/12)*J$13)+((Assumptions!$N5/12)*J$13)*Assumptions!$K$48</f>
        <v>0</v>
      </c>
      <c r="K156" s="219">
        <f>((Assumptions!$N5/12)*K$13)+((Assumptions!$N5/12)*K$13)*Assumptions!$K$48</f>
        <v>250</v>
      </c>
      <c r="L156" s="219">
        <f>((Assumptions!$N5/12)*L$13)+((Assumptions!$N5/12)*L$13)*Assumptions!$K$48</f>
        <v>250</v>
      </c>
      <c r="M156" s="219">
        <f>((Assumptions!$N5/12)*M$13)+((Assumptions!$N5/12)*M$13)*Assumptions!$K$48</f>
        <v>250</v>
      </c>
      <c r="N156" s="219">
        <f>((Assumptions!$N5/12)*N$13)+((Assumptions!$N5/12)*N$13)*Assumptions!$K$48</f>
        <v>250</v>
      </c>
      <c r="O156" s="219">
        <f>((Assumptions!$N5/12)*O$13)+((Assumptions!$N5/12)*O$13)*Assumptions!$K$48</f>
        <v>250</v>
      </c>
      <c r="P156" s="219">
        <f>((Assumptions!$N5/12)*P$13)+((Assumptions!$N5/12)*P$13)*Assumptions!$K$48</f>
        <v>500</v>
      </c>
      <c r="Q156" s="219">
        <f>((Assumptions!$N5/12)*Q$13)+((Assumptions!$N5/12)*Q$13)*Assumptions!$K$48</f>
        <v>500</v>
      </c>
      <c r="R156" s="219">
        <f>((Assumptions!$N5/12)*R$13)+((Assumptions!$N5/12)*R$13)*Assumptions!$K$48</f>
        <v>500</v>
      </c>
      <c r="S156" s="219">
        <f>((Assumptions!$N5/12)*S$13)+((Assumptions!$N5/12)*S$13)*Assumptions!$K$48</f>
        <v>500</v>
      </c>
      <c r="T156" s="219">
        <f>((Assumptions!$N5/12)*T$13)+((Assumptions!$N5/12)*T$13)*Assumptions!$L$48</f>
        <v>625</v>
      </c>
      <c r="U156" s="219">
        <f>((Assumptions!$N5/12)*U$13)+((Assumptions!$N5/12)*U$13)*Assumptions!$L$48</f>
        <v>937.5</v>
      </c>
      <c r="V156" s="219">
        <f>((Assumptions!$N5/12)*V$13)+((Assumptions!$N5/12)*V$13)*Assumptions!$L$48</f>
        <v>937.5</v>
      </c>
      <c r="W156" s="219">
        <f>((Assumptions!$N5/12)*W$13)+((Assumptions!$N5/12)*W$13)*Assumptions!$L$48</f>
        <v>937.5</v>
      </c>
      <c r="X156" s="219">
        <f>((Assumptions!$N5/12)*X$13)+((Assumptions!$N5/12)*X$13)*Assumptions!$L$48</f>
        <v>937.5</v>
      </c>
      <c r="Y156" s="219">
        <f>((Assumptions!$N5/12)*Y$13)+((Assumptions!$N5/12)*Y$13)*Assumptions!$L$48</f>
        <v>937.5</v>
      </c>
      <c r="Z156" s="219">
        <f>((Assumptions!$N5/12)*Z$13)+((Assumptions!$N5/12)*Z$13)*Assumptions!$L$48</f>
        <v>1250</v>
      </c>
      <c r="AA156" s="219">
        <f>((Assumptions!$N5/12)*AA$13)+((Assumptions!$N5/12)*AA$13)*Assumptions!$L$48</f>
        <v>1250</v>
      </c>
      <c r="AB156" s="219">
        <f>((Assumptions!$N5/12)*AB$13)+((Assumptions!$N5/12)*AB$13)*Assumptions!$L$48</f>
        <v>1250</v>
      </c>
      <c r="AC156" s="219">
        <f>((Assumptions!$N5/12)*AC$13)+((Assumptions!$N5/12)*AC$13)*Assumptions!$L$48</f>
        <v>1250</v>
      </c>
      <c r="AD156" s="219">
        <f>((Assumptions!$N5/12)*AD$13)+((Assumptions!$N5/12)*AD$13)*Assumptions!$L$48</f>
        <v>1250</v>
      </c>
      <c r="AE156" s="219">
        <f>((Assumptions!$N5/12)*AE$13)+((Assumptions!$N5/12)*AE$13)*Assumptions!$L$48</f>
        <v>1562.5</v>
      </c>
      <c r="AF156" s="219">
        <f>((Assumptions!$N5/12)*AF$13)+((Assumptions!$N5/12)*AF$13)*Assumptions!$M$48</f>
        <v>2000</v>
      </c>
      <c r="AG156" s="219">
        <f>((Assumptions!$N5/12)*AG$13)+((Assumptions!$N5/12)*AG$13)*Assumptions!$M$48</f>
        <v>2000</v>
      </c>
      <c r="AH156" s="219">
        <f>((Assumptions!$N5/12)*AH$13)+((Assumptions!$N5/12)*AH$13)*Assumptions!$M$48</f>
        <v>2000</v>
      </c>
      <c r="AI156" s="219">
        <f>((Assumptions!$N5/12)*AI$13)+((Assumptions!$N5/12)*AI$13)*Assumptions!$M$48</f>
        <v>2000</v>
      </c>
      <c r="AJ156" s="219">
        <f>((Assumptions!$N5/12)*AJ$13)+((Assumptions!$N5/12)*AJ$13)*Assumptions!$M$48</f>
        <v>2400</v>
      </c>
      <c r="AK156" s="219">
        <f>((Assumptions!$N5/12)*AK$13)+((Assumptions!$N5/12)*AK$13)*Assumptions!$M$48</f>
        <v>2400</v>
      </c>
      <c r="AL156" s="219">
        <f>((Assumptions!$N5/12)*AL$13)+((Assumptions!$N5/12)*AL$13)*Assumptions!$M$48</f>
        <v>2400</v>
      </c>
      <c r="AM156" s="219">
        <f>((Assumptions!$N5/12)*AM$13)+((Assumptions!$N5/12)*AM$13)*Assumptions!$M$48</f>
        <v>2400</v>
      </c>
      <c r="AN156" s="219">
        <f>((Assumptions!$N5/12)*AN$13)+((Assumptions!$N5/12)*AN$13)*Assumptions!$M$48</f>
        <v>2400</v>
      </c>
      <c r="AO156" s="219">
        <f>((Assumptions!$N5/12)*AO$13)+((Assumptions!$N5/12)*AO$13)*Assumptions!$M$48</f>
        <v>2800</v>
      </c>
      <c r="AP156" s="219">
        <f>((Assumptions!$N5/12)*AP$13)+((Assumptions!$N5/12)*AP$13)*Assumptions!$M$48</f>
        <v>2800</v>
      </c>
      <c r="AQ156" s="219">
        <f>((Assumptions!$N5/12)*AQ$13)+((Assumptions!$N5/12)*AQ$13)*Assumptions!$M$48</f>
        <v>2800</v>
      </c>
      <c r="AR156" s="219">
        <f>((Assumptions!$N5/12)*AR$13)+((Assumptions!$N5/12)*AR$13)*Assumptions!$N$48</f>
        <v>4025</v>
      </c>
      <c r="AS156" s="219">
        <f>((Assumptions!$N5/12)*AS$13)+((Assumptions!$N5/12)*AS$13)*Assumptions!$N$48</f>
        <v>4025</v>
      </c>
      <c r="AT156" s="219">
        <f>((Assumptions!$N5/12)*AT$13)+((Assumptions!$N5/12)*AT$13)*Assumptions!$N$48</f>
        <v>4600</v>
      </c>
      <c r="AU156" s="219">
        <f>((Assumptions!$N5/12)*AU$13)+((Assumptions!$N5/12)*AU$13)*Assumptions!$N$48</f>
        <v>4600</v>
      </c>
      <c r="AV156" s="219">
        <f>((Assumptions!$N5/12)*AV$13)+((Assumptions!$N5/12)*AV$13)*Assumptions!$N$48</f>
        <v>4600</v>
      </c>
      <c r="AW156" s="219">
        <f>((Assumptions!$N5/12)*AW$13)+((Assumptions!$N5/12)*AW$13)*Assumptions!$N$48</f>
        <v>4600</v>
      </c>
      <c r="AX156" s="219">
        <f>((Assumptions!$N5/12)*AX$13)+((Assumptions!$N5/12)*AX$13)*Assumptions!$N$48</f>
        <v>4600</v>
      </c>
      <c r="AY156" s="219">
        <f>((Assumptions!$N5/12)*AY$13)+((Assumptions!$N5/12)*AY$13)*Assumptions!$N$48</f>
        <v>5175</v>
      </c>
      <c r="AZ156" s="219">
        <f>((Assumptions!$N5/12)*AZ$13)+((Assumptions!$N5/12)*AZ$13)*Assumptions!$N$48</f>
        <v>5175</v>
      </c>
      <c r="BA156" s="219">
        <f>((Assumptions!$N5/12)*BA$13)+((Assumptions!$N5/12)*BA$13)*Assumptions!$N$48</f>
        <v>5175</v>
      </c>
      <c r="BB156" s="219">
        <f>((Assumptions!$N5/12)*BB$13)+((Assumptions!$N5/12)*BB$13)*Assumptions!$N$48</f>
        <v>5175</v>
      </c>
      <c r="BC156" s="219">
        <f>((Assumptions!$N5/12)*BC$13)+((Assumptions!$N5/12)*BC$13)*Assumptions!$N$48</f>
        <v>5175</v>
      </c>
      <c r="BD156" s="219">
        <f>((Assumptions!$N5/12)*BD$13)+((Assumptions!$N5/12)*BD$13)*Assumptions!$O$48</f>
        <v>7500</v>
      </c>
      <c r="BE156" s="219">
        <f>((Assumptions!$N5/12)*BE$13)+((Assumptions!$N5/12)*BE$13)*Assumptions!$O$48</f>
        <v>7500</v>
      </c>
      <c r="BF156" s="219">
        <f>((Assumptions!$N5/12)*BF$13)+((Assumptions!$N5/12)*BF$13)*Assumptions!$O$48</f>
        <v>7500</v>
      </c>
      <c r="BG156" s="219">
        <f>((Assumptions!$N5/12)*BG$13)+((Assumptions!$N5/12)*BG$13)*Assumptions!$O$48</f>
        <v>7500</v>
      </c>
      <c r="BH156" s="219">
        <f>((Assumptions!$N5/12)*BH$13)+((Assumptions!$N5/12)*BH$13)*Assumptions!$O$48</f>
        <v>7500</v>
      </c>
      <c r="BI156" s="219">
        <f>((Assumptions!$N5/12)*BI$13)+((Assumptions!$N5/12)*BI$13)*Assumptions!$O$48</f>
        <v>8250</v>
      </c>
      <c r="BJ156" s="219">
        <f>((Assumptions!$N5/12)*BJ$13)+((Assumptions!$N5/12)*BJ$13)*Assumptions!$O$48</f>
        <v>8250</v>
      </c>
      <c r="BK156" s="219">
        <f>((Assumptions!$N5/12)*BK$13)+((Assumptions!$N5/12)*BK$13)*Assumptions!$O$48</f>
        <v>8250</v>
      </c>
      <c r="BL156" s="219">
        <f>((Assumptions!$N5/12)*BL$13)+((Assumptions!$N5/12)*BL$13)*Assumptions!$O$48</f>
        <v>8250</v>
      </c>
      <c r="BM156" s="219">
        <f>((Assumptions!$N5/12)*BM$13)+((Assumptions!$N5/12)*BM$13)*Assumptions!$O$48</f>
        <v>8250</v>
      </c>
      <c r="BN156" s="219">
        <f>((Assumptions!$N5/12)*BN$13)+((Assumptions!$N5/12)*BN$13)*Assumptions!$O$48</f>
        <v>9000</v>
      </c>
      <c r="BO156" s="219">
        <f>((Assumptions!$N5/12)*BO$13)+((Assumptions!$N5/12)*BO$13)*Assumptions!$O$48</f>
        <v>9000</v>
      </c>
    </row>
    <row r="157" spans="1:67" s="217" customFormat="1" x14ac:dyDescent="0.25">
      <c r="A157" s="215" t="str">
        <f>Assumptions!$J$6</f>
        <v>Sales Assistant</v>
      </c>
      <c r="B157" s="216"/>
      <c r="H157" s="219">
        <f>((Assumptions!$N6/12)*H$14)+((Assumptions!$N6/12)*H$14)*Assumptions!$K$48</f>
        <v>0</v>
      </c>
      <c r="I157" s="219">
        <f>((Assumptions!$N6/12)*I$14)+((Assumptions!$N6/12)*I$14)*Assumptions!$K$48</f>
        <v>0</v>
      </c>
      <c r="J157" s="219">
        <f>((Assumptions!$N6/12)*J$14)+((Assumptions!$N6/12)*J$14)*Assumptions!$K$48</f>
        <v>0</v>
      </c>
      <c r="K157" s="219">
        <f>((Assumptions!$N6/12)*K$14)+((Assumptions!$N6/12)*K$14)*Assumptions!$K$48</f>
        <v>0</v>
      </c>
      <c r="L157" s="219">
        <f>((Assumptions!$N6/12)*L$14)+((Assumptions!$N6/12)*L$14)*Assumptions!$K$48</f>
        <v>0</v>
      </c>
      <c r="M157" s="219">
        <f>((Assumptions!$N6/12)*M$14)+((Assumptions!$N6/12)*M$14)*Assumptions!$K$48</f>
        <v>0</v>
      </c>
      <c r="N157" s="219">
        <f>((Assumptions!$N6/12)*N$14)+((Assumptions!$N6/12)*N$14)*Assumptions!$K$48</f>
        <v>0</v>
      </c>
      <c r="O157" s="219">
        <f>((Assumptions!$N6/12)*O$14)+((Assumptions!$N6/12)*O$14)*Assumptions!$K$48</f>
        <v>0</v>
      </c>
      <c r="P157" s="219">
        <f>((Assumptions!$N6/12)*P$14)+((Assumptions!$N6/12)*P$14)*Assumptions!$K$48</f>
        <v>250</v>
      </c>
      <c r="Q157" s="219">
        <f>((Assumptions!$N6/12)*Q$14)+((Assumptions!$N6/12)*Q$14)*Assumptions!$K$48</f>
        <v>250</v>
      </c>
      <c r="R157" s="219">
        <f>((Assumptions!$N6/12)*R$14)+((Assumptions!$N6/12)*R$14)*Assumptions!$K$48</f>
        <v>250</v>
      </c>
      <c r="S157" s="219">
        <f>((Assumptions!$N6/12)*S$14)+((Assumptions!$N6/12)*S$14)*Assumptions!$K$48</f>
        <v>250</v>
      </c>
      <c r="T157" s="219">
        <f>((Assumptions!$N6/12)*T$14)+((Assumptions!$N6/12)*T$14)*Assumptions!$L$48</f>
        <v>312.5</v>
      </c>
      <c r="U157" s="219">
        <f>((Assumptions!$N6/12)*U$14)+((Assumptions!$N6/12)*U$14)*Assumptions!$L$48</f>
        <v>312.5</v>
      </c>
      <c r="V157" s="219">
        <f>((Assumptions!$N6/12)*V$14)+((Assumptions!$N6/12)*V$14)*Assumptions!$L$48</f>
        <v>312.5</v>
      </c>
      <c r="W157" s="219">
        <f>((Assumptions!$N6/12)*W$14)+((Assumptions!$N6/12)*W$14)*Assumptions!$L$48</f>
        <v>312.5</v>
      </c>
      <c r="X157" s="219">
        <f>((Assumptions!$N6/12)*X$14)+((Assumptions!$N6/12)*X$14)*Assumptions!$L$48</f>
        <v>312.5</v>
      </c>
      <c r="Y157" s="219">
        <f>((Assumptions!$N6/12)*Y$14)+((Assumptions!$N6/12)*Y$14)*Assumptions!$L$48</f>
        <v>312.5</v>
      </c>
      <c r="Z157" s="219">
        <f>((Assumptions!$N6/12)*Z$14)+((Assumptions!$N6/12)*Z$14)*Assumptions!$L$48</f>
        <v>625</v>
      </c>
      <c r="AA157" s="219">
        <f>((Assumptions!$N6/12)*AA$14)+((Assumptions!$N6/12)*AA$14)*Assumptions!$L$48</f>
        <v>625</v>
      </c>
      <c r="AB157" s="219">
        <f>((Assumptions!$N6/12)*AB$14)+((Assumptions!$N6/12)*AB$14)*Assumptions!$L$48</f>
        <v>625</v>
      </c>
      <c r="AC157" s="219">
        <f>((Assumptions!$N6/12)*AC$14)+((Assumptions!$N6/12)*AC$14)*Assumptions!$L$48</f>
        <v>625</v>
      </c>
      <c r="AD157" s="219">
        <f>((Assumptions!$N6/12)*AD$14)+((Assumptions!$N6/12)*AD$14)*Assumptions!$L$48</f>
        <v>625</v>
      </c>
      <c r="AE157" s="219">
        <f>((Assumptions!$N6/12)*AE$14)+((Assumptions!$N6/12)*AE$14)*Assumptions!$L$48</f>
        <v>625</v>
      </c>
      <c r="AF157" s="219">
        <f>((Assumptions!$N6/12)*AF$14)+((Assumptions!$N6/12)*AF$14)*Assumptions!$M$48</f>
        <v>800</v>
      </c>
      <c r="AG157" s="219">
        <f>((Assumptions!$N6/12)*AG$14)+((Assumptions!$N6/12)*AG$14)*Assumptions!$M$48</f>
        <v>800</v>
      </c>
      <c r="AH157" s="219">
        <f>((Assumptions!$N6/12)*AH$14)+((Assumptions!$N6/12)*AH$14)*Assumptions!$M$48</f>
        <v>800</v>
      </c>
      <c r="AI157" s="219">
        <f>((Assumptions!$N6/12)*AI$14)+((Assumptions!$N6/12)*AI$14)*Assumptions!$M$48</f>
        <v>800</v>
      </c>
      <c r="AJ157" s="219">
        <f>((Assumptions!$N6/12)*AJ$14)+((Assumptions!$N6/12)*AJ$14)*Assumptions!$M$48</f>
        <v>1200</v>
      </c>
      <c r="AK157" s="219">
        <f>((Assumptions!$N6/12)*AK$14)+((Assumptions!$N6/12)*AK$14)*Assumptions!$M$48</f>
        <v>1200</v>
      </c>
      <c r="AL157" s="219">
        <f>((Assumptions!$N6/12)*AL$14)+((Assumptions!$N6/12)*AL$14)*Assumptions!$M$48</f>
        <v>1200</v>
      </c>
      <c r="AM157" s="219">
        <f>((Assumptions!$N6/12)*AM$14)+((Assumptions!$N6/12)*AM$14)*Assumptions!$M$48</f>
        <v>1200</v>
      </c>
      <c r="AN157" s="219">
        <f>((Assumptions!$N6/12)*AN$14)+((Assumptions!$N6/12)*AN$14)*Assumptions!$M$48</f>
        <v>1200</v>
      </c>
      <c r="AO157" s="219">
        <f>((Assumptions!$N6/12)*AO$14)+((Assumptions!$N6/12)*AO$14)*Assumptions!$M$48</f>
        <v>1200</v>
      </c>
      <c r="AP157" s="219">
        <f>((Assumptions!$N6/12)*AP$14)+((Assumptions!$N6/12)*AP$14)*Assumptions!$M$48</f>
        <v>1200</v>
      </c>
      <c r="AQ157" s="219">
        <f>((Assumptions!$N6/12)*AQ$14)+((Assumptions!$N6/12)*AQ$14)*Assumptions!$M$48</f>
        <v>1200</v>
      </c>
      <c r="AR157" s="219">
        <f>((Assumptions!$N6/12)*AR$14)+((Assumptions!$N6/12)*AR$14)*Assumptions!$N$48</f>
        <v>1725</v>
      </c>
      <c r="AS157" s="219">
        <f>((Assumptions!$N6/12)*AS$14)+((Assumptions!$N6/12)*AS$14)*Assumptions!$N$48</f>
        <v>1725</v>
      </c>
      <c r="AT157" s="219">
        <f>((Assumptions!$N6/12)*AT$14)+((Assumptions!$N6/12)*AT$14)*Assumptions!$N$48</f>
        <v>2300</v>
      </c>
      <c r="AU157" s="219">
        <f>((Assumptions!$N6/12)*AU$14)+((Assumptions!$N6/12)*AU$14)*Assumptions!$N$48</f>
        <v>2300</v>
      </c>
      <c r="AV157" s="219">
        <f>((Assumptions!$N6/12)*AV$14)+((Assumptions!$N6/12)*AV$14)*Assumptions!$N$48</f>
        <v>2300</v>
      </c>
      <c r="AW157" s="219">
        <f>((Assumptions!$N6/12)*AW$14)+((Assumptions!$N6/12)*AW$14)*Assumptions!$N$48</f>
        <v>2300</v>
      </c>
      <c r="AX157" s="219">
        <f>((Assumptions!$N6/12)*AX$14)+((Assumptions!$N6/12)*AX$14)*Assumptions!$N$48</f>
        <v>2300</v>
      </c>
      <c r="AY157" s="219">
        <f>((Assumptions!$N6/12)*AY$14)+((Assumptions!$N6/12)*AY$14)*Assumptions!$N$48</f>
        <v>2300</v>
      </c>
      <c r="AZ157" s="219">
        <f>((Assumptions!$N6/12)*AZ$14)+((Assumptions!$N6/12)*AZ$14)*Assumptions!$N$48</f>
        <v>2300</v>
      </c>
      <c r="BA157" s="219">
        <f>((Assumptions!$N6/12)*BA$14)+((Assumptions!$N6/12)*BA$14)*Assumptions!$N$48</f>
        <v>2300</v>
      </c>
      <c r="BB157" s="219">
        <f>((Assumptions!$N6/12)*BB$14)+((Assumptions!$N6/12)*BB$14)*Assumptions!$N$48</f>
        <v>2300</v>
      </c>
      <c r="BC157" s="219">
        <f>((Assumptions!$N6/12)*BC$14)+((Assumptions!$N6/12)*BC$14)*Assumptions!$N$48</f>
        <v>2300</v>
      </c>
      <c r="BD157" s="219">
        <f>((Assumptions!$N6/12)*BD$14)+((Assumptions!$N6/12)*BD$14)*Assumptions!$O$48</f>
        <v>3750</v>
      </c>
      <c r="BE157" s="219">
        <f>((Assumptions!$N6/12)*BE$14)+((Assumptions!$N6/12)*BE$14)*Assumptions!$O$48</f>
        <v>3750</v>
      </c>
      <c r="BF157" s="219">
        <f>((Assumptions!$N6/12)*BF$14)+((Assumptions!$N6/12)*BF$14)*Assumptions!$O$48</f>
        <v>3750</v>
      </c>
      <c r="BG157" s="219">
        <f>((Assumptions!$N6/12)*BG$14)+((Assumptions!$N6/12)*BG$14)*Assumptions!$O$48</f>
        <v>3750</v>
      </c>
      <c r="BH157" s="219">
        <f>((Assumptions!$N6/12)*BH$14)+((Assumptions!$N6/12)*BH$14)*Assumptions!$O$48</f>
        <v>3750</v>
      </c>
      <c r="BI157" s="219">
        <f>((Assumptions!$N6/12)*BI$14)+((Assumptions!$N6/12)*BI$14)*Assumptions!$O$48</f>
        <v>3750</v>
      </c>
      <c r="BJ157" s="219">
        <f>((Assumptions!$N6/12)*BJ$14)+((Assumptions!$N6/12)*BJ$14)*Assumptions!$O$48</f>
        <v>3750</v>
      </c>
      <c r="BK157" s="219">
        <f>((Assumptions!$N6/12)*BK$14)+((Assumptions!$N6/12)*BK$14)*Assumptions!$O$48</f>
        <v>3750</v>
      </c>
      <c r="BL157" s="219">
        <f>((Assumptions!$N6/12)*BL$14)+((Assumptions!$N6/12)*BL$14)*Assumptions!$O$48</f>
        <v>3750</v>
      </c>
      <c r="BM157" s="219">
        <f>((Assumptions!$N6/12)*BM$14)+((Assumptions!$N6/12)*BM$14)*Assumptions!$O$48</f>
        <v>3750</v>
      </c>
      <c r="BN157" s="219">
        <f>((Assumptions!$N6/12)*BN$14)+((Assumptions!$N6/12)*BN$14)*Assumptions!$O$48</f>
        <v>4500</v>
      </c>
      <c r="BO157" s="219">
        <f>((Assumptions!$N6/12)*BO$14)+((Assumptions!$N6/12)*BO$14)*Assumptions!$O$48</f>
        <v>4500</v>
      </c>
    </row>
    <row r="158" spans="1:67" s="25" customFormat="1" x14ac:dyDescent="0.25">
      <c r="A158" s="25" t="s">
        <v>243</v>
      </c>
      <c r="B158" s="202">
        <f>MAX(D158:AQ158)</f>
        <v>19200</v>
      </c>
      <c r="D158" s="25">
        <f>SUM(D153:D157)</f>
        <v>0</v>
      </c>
      <c r="E158" s="25">
        <f t="shared" ref="E158:BO158" si="40">SUM(E153:E157)</f>
        <v>0</v>
      </c>
      <c r="F158" s="25">
        <f t="shared" si="40"/>
        <v>0</v>
      </c>
      <c r="G158" s="25">
        <f t="shared" si="40"/>
        <v>0</v>
      </c>
      <c r="H158" s="25">
        <f t="shared" si="40"/>
        <v>750</v>
      </c>
      <c r="I158" s="25">
        <f t="shared" si="40"/>
        <v>1000</v>
      </c>
      <c r="J158" s="25">
        <f t="shared" si="40"/>
        <v>1250</v>
      </c>
      <c r="K158" s="25">
        <f t="shared" si="40"/>
        <v>1750</v>
      </c>
      <c r="L158" s="25">
        <f t="shared" si="40"/>
        <v>2000</v>
      </c>
      <c r="M158" s="25">
        <f t="shared" si="40"/>
        <v>2250</v>
      </c>
      <c r="N158" s="25">
        <f t="shared" si="40"/>
        <v>2500</v>
      </c>
      <c r="O158" s="25">
        <f t="shared" si="40"/>
        <v>2750</v>
      </c>
      <c r="P158" s="25">
        <f t="shared" si="40"/>
        <v>3500</v>
      </c>
      <c r="Q158" s="25">
        <f t="shared" si="40"/>
        <v>3750</v>
      </c>
      <c r="R158" s="25">
        <f t="shared" si="40"/>
        <v>4000</v>
      </c>
      <c r="S158" s="25">
        <f t="shared" si="40"/>
        <v>4250</v>
      </c>
      <c r="T158" s="25">
        <f t="shared" si="40"/>
        <v>5625</v>
      </c>
      <c r="U158" s="25">
        <f t="shared" si="40"/>
        <v>6250</v>
      </c>
      <c r="V158" s="25">
        <f t="shared" si="40"/>
        <v>6562.5</v>
      </c>
      <c r="W158" s="25">
        <f t="shared" si="40"/>
        <v>6875</v>
      </c>
      <c r="X158" s="25">
        <f t="shared" si="40"/>
        <v>7187.5</v>
      </c>
      <c r="Y158" s="25">
        <f t="shared" si="40"/>
        <v>7500</v>
      </c>
      <c r="Z158" s="25">
        <f t="shared" si="40"/>
        <v>8437.5</v>
      </c>
      <c r="AA158" s="25">
        <f t="shared" si="40"/>
        <v>8750</v>
      </c>
      <c r="AB158" s="25">
        <f t="shared" si="40"/>
        <v>9062.5</v>
      </c>
      <c r="AC158" s="25">
        <f t="shared" si="40"/>
        <v>9375</v>
      </c>
      <c r="AD158" s="25">
        <f t="shared" si="40"/>
        <v>9687.5</v>
      </c>
      <c r="AE158" s="25">
        <f t="shared" si="40"/>
        <v>10312.5</v>
      </c>
      <c r="AF158" s="25">
        <f t="shared" si="40"/>
        <v>13600</v>
      </c>
      <c r="AG158" s="25">
        <f t="shared" si="40"/>
        <v>14000</v>
      </c>
      <c r="AH158" s="25">
        <f t="shared" si="40"/>
        <v>14400</v>
      </c>
      <c r="AI158" s="25">
        <f t="shared" si="40"/>
        <v>14800</v>
      </c>
      <c r="AJ158" s="25">
        <f t="shared" si="40"/>
        <v>16000</v>
      </c>
      <c r="AK158" s="25">
        <f t="shared" si="40"/>
        <v>16400</v>
      </c>
      <c r="AL158" s="25">
        <f t="shared" si="40"/>
        <v>16800</v>
      </c>
      <c r="AM158" s="25">
        <f t="shared" si="40"/>
        <v>17200</v>
      </c>
      <c r="AN158" s="25">
        <f t="shared" si="40"/>
        <v>17600</v>
      </c>
      <c r="AO158" s="25">
        <f t="shared" si="40"/>
        <v>18400</v>
      </c>
      <c r="AP158" s="25">
        <f t="shared" si="40"/>
        <v>18800</v>
      </c>
      <c r="AQ158" s="25">
        <f t="shared" si="40"/>
        <v>19200</v>
      </c>
      <c r="AR158" s="25">
        <f t="shared" si="40"/>
        <v>28175</v>
      </c>
      <c r="AS158" s="25">
        <f t="shared" si="40"/>
        <v>28750</v>
      </c>
      <c r="AT158" s="25">
        <f t="shared" si="40"/>
        <v>30475</v>
      </c>
      <c r="AU158" s="25">
        <f t="shared" si="40"/>
        <v>31050</v>
      </c>
      <c r="AV158" s="25">
        <f t="shared" si="40"/>
        <v>31625</v>
      </c>
      <c r="AW158" s="25">
        <f t="shared" si="40"/>
        <v>32200</v>
      </c>
      <c r="AX158" s="25">
        <f t="shared" si="40"/>
        <v>32775</v>
      </c>
      <c r="AY158" s="25">
        <f t="shared" si="40"/>
        <v>33925</v>
      </c>
      <c r="AZ158" s="25">
        <f t="shared" si="40"/>
        <v>34500</v>
      </c>
      <c r="BA158" s="25">
        <f t="shared" si="40"/>
        <v>35075</v>
      </c>
      <c r="BB158" s="25">
        <f t="shared" si="40"/>
        <v>35650</v>
      </c>
      <c r="BC158" s="25">
        <f t="shared" si="40"/>
        <v>36225</v>
      </c>
      <c r="BD158" s="25">
        <f t="shared" si="40"/>
        <v>49500</v>
      </c>
      <c r="BE158" s="25">
        <f t="shared" si="40"/>
        <v>50250</v>
      </c>
      <c r="BF158" s="25">
        <f t="shared" si="40"/>
        <v>51000</v>
      </c>
      <c r="BG158" s="25">
        <f t="shared" si="40"/>
        <v>51750</v>
      </c>
      <c r="BH158" s="25">
        <f t="shared" si="40"/>
        <v>52500</v>
      </c>
      <c r="BI158" s="25">
        <f t="shared" si="40"/>
        <v>54000</v>
      </c>
      <c r="BJ158" s="25">
        <f t="shared" si="40"/>
        <v>54750</v>
      </c>
      <c r="BK158" s="25">
        <f t="shared" si="40"/>
        <v>55500</v>
      </c>
      <c r="BL158" s="25">
        <f t="shared" si="40"/>
        <v>56250</v>
      </c>
      <c r="BM158" s="25">
        <f t="shared" si="40"/>
        <v>57000</v>
      </c>
      <c r="BN158" s="25">
        <f t="shared" si="40"/>
        <v>59250</v>
      </c>
      <c r="BO158" s="25">
        <f t="shared" si="40"/>
        <v>60000</v>
      </c>
    </row>
    <row r="159" spans="1:67" x14ac:dyDescent="0.25">
      <c r="B159" s="202"/>
    </row>
    <row r="160" spans="1:67" x14ac:dyDescent="0.25">
      <c r="A160" s="197" t="s">
        <v>177</v>
      </c>
      <c r="B160" s="202"/>
    </row>
    <row r="161" spans="1:67" x14ac:dyDescent="0.25">
      <c r="A161" s="213" t="str">
        <f>Assumptions!$J$9</f>
        <v>CEO</v>
      </c>
      <c r="B161" s="202" t="b">
        <f>(H161*12)=Assumptions!N9</f>
        <v>1</v>
      </c>
      <c r="H161" s="51">
        <f>(Assumptions!$N9/12)+(Assumptions!$N9/12)*Assumptions!$K$48</f>
        <v>250</v>
      </c>
      <c r="I161" s="51">
        <f>(Assumptions!$N9/12)+(Assumptions!$N9/12)*Assumptions!$K$48</f>
        <v>250</v>
      </c>
      <c r="J161" s="51">
        <f>(Assumptions!$N9/12)+(Assumptions!$N9/12)*Assumptions!$K$48</f>
        <v>250</v>
      </c>
      <c r="K161" s="51">
        <f>(Assumptions!$N9/12)+(Assumptions!$N9/12)*Assumptions!$K$48</f>
        <v>250</v>
      </c>
      <c r="L161" s="51">
        <f>(Assumptions!$N9/12)+(Assumptions!$N9/12)*Assumptions!$K$48</f>
        <v>250</v>
      </c>
      <c r="M161" s="51">
        <f>(Assumptions!$N9/12)+(Assumptions!$N9/12)*Assumptions!$K$48</f>
        <v>250</v>
      </c>
      <c r="N161" s="51">
        <f>(Assumptions!$N9/12)+(Assumptions!$N9/12)*Assumptions!$K$48</f>
        <v>250</v>
      </c>
      <c r="O161" s="51">
        <f>(Assumptions!$N9/12)+(Assumptions!$N9/12)*Assumptions!$K$48</f>
        <v>250</v>
      </c>
      <c r="P161" s="51">
        <f>(Assumptions!$N9/12)+(Assumptions!$N9/12)*Assumptions!$K$48</f>
        <v>250</v>
      </c>
      <c r="Q161" s="51">
        <f>(Assumptions!$N9/12)+(Assumptions!$N9/12)*Assumptions!$K$48</f>
        <v>250</v>
      </c>
      <c r="R161" s="51">
        <f>(Assumptions!$N9/12)+(Assumptions!$N9/12)*Assumptions!$K$48</f>
        <v>250</v>
      </c>
      <c r="S161" s="51">
        <f>(Assumptions!$N9/12)+(Assumptions!$N9/12)*Assumptions!$K$48</f>
        <v>250</v>
      </c>
      <c r="T161" s="51">
        <f>(Assumptions!$N9/12)+(Assumptions!$N9/12)*Assumptions!$L$48</f>
        <v>312.5</v>
      </c>
      <c r="U161" s="51">
        <f>(Assumptions!$N9/12)+(Assumptions!$N9/12)*Assumptions!$L$48</f>
        <v>312.5</v>
      </c>
      <c r="V161" s="51">
        <f>(Assumptions!$N9/12)+(Assumptions!$N9/12)*Assumptions!$L$48</f>
        <v>312.5</v>
      </c>
      <c r="W161" s="51">
        <f>(Assumptions!$N9/12)+(Assumptions!$N9/12)*Assumptions!$L$48</f>
        <v>312.5</v>
      </c>
      <c r="X161" s="51">
        <f>(Assumptions!$N9/12)+(Assumptions!$N9/12)*Assumptions!$L$48</f>
        <v>312.5</v>
      </c>
      <c r="Y161" s="51">
        <f>(Assumptions!$N9/12)+(Assumptions!$N9/12)*Assumptions!$L$48</f>
        <v>312.5</v>
      </c>
      <c r="Z161" s="51">
        <f>(Assumptions!$N9/12)+(Assumptions!$N9/12)*Assumptions!$L$48</f>
        <v>312.5</v>
      </c>
      <c r="AA161" s="51">
        <f>(Assumptions!$N9/12)+(Assumptions!$N9/12)*Assumptions!$L$48</f>
        <v>312.5</v>
      </c>
      <c r="AB161" s="51">
        <f>(Assumptions!$N9/12)+(Assumptions!$N9/12)*Assumptions!$L$48</f>
        <v>312.5</v>
      </c>
      <c r="AC161" s="51">
        <f>(Assumptions!$N9/12)+(Assumptions!$N9/12)*Assumptions!$L$48</f>
        <v>312.5</v>
      </c>
      <c r="AD161" s="51">
        <f>(Assumptions!$N9/12)+(Assumptions!$N9/12)*Assumptions!$L$48</f>
        <v>312.5</v>
      </c>
      <c r="AE161" s="51">
        <f>(Assumptions!$N9/12)+(Assumptions!$N9/12)*Assumptions!$L$48</f>
        <v>312.5</v>
      </c>
      <c r="AF161" s="51">
        <f>(Assumptions!$N9/12)+(Assumptions!$N9/12)*Assumptions!$M$48</f>
        <v>400</v>
      </c>
      <c r="AG161" s="51">
        <f>(Assumptions!$N9/12)+(Assumptions!$N9/12)*Assumptions!$M$48</f>
        <v>400</v>
      </c>
      <c r="AH161" s="51">
        <f>(Assumptions!$N9/12)+(Assumptions!$N9/12)*Assumptions!$M$48</f>
        <v>400</v>
      </c>
      <c r="AI161" s="51">
        <f>(Assumptions!$N9/12)+(Assumptions!$N9/12)*Assumptions!$M$48</f>
        <v>400</v>
      </c>
      <c r="AJ161" s="51">
        <f>(Assumptions!$N9/12)+(Assumptions!$N9/12)*Assumptions!$M$48</f>
        <v>400</v>
      </c>
      <c r="AK161" s="51">
        <f>(Assumptions!$N9/12)+(Assumptions!$N9/12)*Assumptions!$M$48</f>
        <v>400</v>
      </c>
      <c r="AL161" s="51">
        <f>(Assumptions!$N9/12)+(Assumptions!$N9/12)*Assumptions!$M$48</f>
        <v>400</v>
      </c>
      <c r="AM161" s="51">
        <f>(Assumptions!$N9/12)+(Assumptions!$N9/12)*Assumptions!$M$48</f>
        <v>400</v>
      </c>
      <c r="AN161" s="51">
        <f>(Assumptions!$N9/12)+(Assumptions!$N9/12)*Assumptions!$M$48</f>
        <v>400</v>
      </c>
      <c r="AO161" s="51">
        <f>(Assumptions!$N9/12)+(Assumptions!$N9/12)*Assumptions!$M$48</f>
        <v>400</v>
      </c>
      <c r="AP161" s="51">
        <f>(Assumptions!$N9/12)+(Assumptions!$N9/12)*Assumptions!$M$48</f>
        <v>400</v>
      </c>
      <c r="AQ161" s="51">
        <f>(Assumptions!$N9/12)+(Assumptions!$N9/12)*Assumptions!$M$48</f>
        <v>400</v>
      </c>
      <c r="AR161" s="51">
        <f>(Assumptions!$N9/12)+(Assumptions!$N9/12)*Assumptions!$N$48</f>
        <v>575</v>
      </c>
      <c r="AS161" s="51">
        <f>(Assumptions!$N9/12)+(Assumptions!$N9/12)*Assumptions!$N$48</f>
        <v>575</v>
      </c>
      <c r="AT161" s="51">
        <f>(Assumptions!$N9/12)+(Assumptions!$N9/12)*Assumptions!$N$48</f>
        <v>575</v>
      </c>
      <c r="AU161" s="51">
        <f>(Assumptions!$N9/12)+(Assumptions!$N9/12)*Assumptions!$N$48</f>
        <v>575</v>
      </c>
      <c r="AV161" s="51">
        <f>(Assumptions!$N9/12)+(Assumptions!$N9/12)*Assumptions!$N$48</f>
        <v>575</v>
      </c>
      <c r="AW161" s="51">
        <f>(Assumptions!$N9/12)+(Assumptions!$N9/12)*Assumptions!$N$48</f>
        <v>575</v>
      </c>
      <c r="AX161" s="51">
        <f>(Assumptions!$N9/12)+(Assumptions!$N9/12)*Assumptions!$N$48</f>
        <v>575</v>
      </c>
      <c r="AY161" s="51">
        <f>(Assumptions!$N9/12)+(Assumptions!$N9/12)*Assumptions!$N$48</f>
        <v>575</v>
      </c>
      <c r="AZ161" s="51">
        <f>(Assumptions!$N9/12)+(Assumptions!$N9/12)*Assumptions!$N$48</f>
        <v>575</v>
      </c>
      <c r="BA161" s="51">
        <f>(Assumptions!$N9/12)+(Assumptions!$N9/12)*Assumptions!$N$48</f>
        <v>575</v>
      </c>
      <c r="BB161" s="51">
        <f>(Assumptions!$N9/12)+(Assumptions!$N9/12)*Assumptions!$N$48</f>
        <v>575</v>
      </c>
      <c r="BC161" s="51">
        <f>(Assumptions!$N9/12)+(Assumptions!$N9/12)*Assumptions!$N$48</f>
        <v>575</v>
      </c>
      <c r="BD161" s="51">
        <f>(Assumptions!$N9/12)+(Assumptions!$N9/12)*Assumptions!$O$48</f>
        <v>750</v>
      </c>
      <c r="BE161" s="51">
        <f>(Assumptions!$N9/12)+(Assumptions!$N9/12)*Assumptions!$O$48</f>
        <v>750</v>
      </c>
      <c r="BF161" s="51">
        <f>(Assumptions!$N9/12)+(Assumptions!$N9/12)*Assumptions!$O$48</f>
        <v>750</v>
      </c>
      <c r="BG161" s="51">
        <f>(Assumptions!$N9/12)+(Assumptions!$N9/12)*Assumptions!$O$48</f>
        <v>750</v>
      </c>
      <c r="BH161" s="51">
        <f>(Assumptions!$N9/12)+(Assumptions!$N9/12)*Assumptions!$O$48</f>
        <v>750</v>
      </c>
      <c r="BI161" s="51">
        <f>(Assumptions!$N9/12)+(Assumptions!$N9/12)*Assumptions!$O$48</f>
        <v>750</v>
      </c>
      <c r="BJ161" s="51">
        <f>(Assumptions!$N9/12)+(Assumptions!$N9/12)*Assumptions!$O$48</f>
        <v>750</v>
      </c>
      <c r="BK161" s="51">
        <f>(Assumptions!$N9/12)+(Assumptions!$N9/12)*Assumptions!$O$48</f>
        <v>750</v>
      </c>
      <c r="BL161" s="51">
        <f>(Assumptions!$N9/12)+(Assumptions!$N9/12)*Assumptions!$O$48</f>
        <v>750</v>
      </c>
      <c r="BM161" s="51">
        <f>(Assumptions!$N9/12)+(Assumptions!$N9/12)*Assumptions!$O$48</f>
        <v>750</v>
      </c>
      <c r="BN161" s="51">
        <f>(Assumptions!$N9/12)+(Assumptions!$N9/12)*Assumptions!$O$48</f>
        <v>750</v>
      </c>
      <c r="BO161" s="51">
        <f>(Assumptions!$N9/12)+(Assumptions!$N9/12)*Assumptions!$O$48</f>
        <v>750</v>
      </c>
    </row>
    <row r="162" spans="1:67" x14ac:dyDescent="0.25">
      <c r="A162" s="213" t="str">
        <f>Assumptions!$J$10</f>
        <v>VP Operations</v>
      </c>
      <c r="B162" s="202" t="b">
        <f>(H162*12)=Assumptions!N10</f>
        <v>1</v>
      </c>
      <c r="H162" s="51">
        <f>(Assumptions!$N10/12)+(Assumptions!$N10/12)*Assumptions!$K$48</f>
        <v>250</v>
      </c>
      <c r="I162" s="51">
        <f>(Assumptions!$N10/12)+(Assumptions!$N10/12)*Assumptions!$K$48</f>
        <v>250</v>
      </c>
      <c r="J162" s="51">
        <f>(Assumptions!$N10/12)+(Assumptions!$N10/12)*Assumptions!$K$48</f>
        <v>250</v>
      </c>
      <c r="K162" s="51">
        <f>(Assumptions!$N10/12)+(Assumptions!$N10/12)*Assumptions!$K$48</f>
        <v>250</v>
      </c>
      <c r="L162" s="51">
        <f>(Assumptions!$N10/12)+(Assumptions!$N10/12)*Assumptions!$K$48</f>
        <v>250</v>
      </c>
      <c r="M162" s="51">
        <f>(Assumptions!$N10/12)+(Assumptions!$N10/12)*Assumptions!$K$48</f>
        <v>250</v>
      </c>
      <c r="N162" s="51">
        <f>(Assumptions!$N10/12)+(Assumptions!$N10/12)*Assumptions!$K$48</f>
        <v>250</v>
      </c>
      <c r="O162" s="51">
        <f>(Assumptions!$N10/12)+(Assumptions!$N10/12)*Assumptions!$K$48</f>
        <v>250</v>
      </c>
      <c r="P162" s="51">
        <f>(Assumptions!$N10/12)+(Assumptions!$N10/12)*Assumptions!$K$48</f>
        <v>250</v>
      </c>
      <c r="Q162" s="51">
        <f>(Assumptions!$N10/12)+(Assumptions!$N10/12)*Assumptions!$K$48</f>
        <v>250</v>
      </c>
      <c r="R162" s="51">
        <f>(Assumptions!$N10/12)+(Assumptions!$N10/12)*Assumptions!$K$48</f>
        <v>250</v>
      </c>
      <c r="S162" s="51">
        <f>(Assumptions!$N10/12)+(Assumptions!$N10/12)*Assumptions!$K$48</f>
        <v>250</v>
      </c>
      <c r="T162" s="51">
        <f>(Assumptions!$N10/12)+(Assumptions!$N10/12)*Assumptions!$L$48</f>
        <v>312.5</v>
      </c>
      <c r="U162" s="51">
        <f>(Assumptions!$N10/12)+(Assumptions!$N10/12)*Assumptions!$L$48</f>
        <v>312.5</v>
      </c>
      <c r="V162" s="51">
        <f>(Assumptions!$N10/12)+(Assumptions!$N10/12)*Assumptions!$L$48</f>
        <v>312.5</v>
      </c>
      <c r="W162" s="51">
        <f>(Assumptions!$N10/12)+(Assumptions!$N10/12)*Assumptions!$L$48</f>
        <v>312.5</v>
      </c>
      <c r="X162" s="51">
        <f>(Assumptions!$N10/12)+(Assumptions!$N10/12)*Assumptions!$L$48</f>
        <v>312.5</v>
      </c>
      <c r="Y162" s="51">
        <f>(Assumptions!$N10/12)+(Assumptions!$N10/12)*Assumptions!$L$48</f>
        <v>312.5</v>
      </c>
      <c r="Z162" s="51">
        <f>(Assumptions!$N10/12)+(Assumptions!$N10/12)*Assumptions!$L$48</f>
        <v>312.5</v>
      </c>
      <c r="AA162" s="51">
        <f>(Assumptions!$N10/12)+(Assumptions!$N10/12)*Assumptions!$L$48</f>
        <v>312.5</v>
      </c>
      <c r="AB162" s="51">
        <f>(Assumptions!$N10/12)+(Assumptions!$N10/12)*Assumptions!$L$48</f>
        <v>312.5</v>
      </c>
      <c r="AC162" s="51">
        <f>(Assumptions!$N10/12)+(Assumptions!$N10/12)*Assumptions!$L$48</f>
        <v>312.5</v>
      </c>
      <c r="AD162" s="51">
        <f>(Assumptions!$N10/12)+(Assumptions!$N10/12)*Assumptions!$L$48</f>
        <v>312.5</v>
      </c>
      <c r="AE162" s="51">
        <f>(Assumptions!$N10/12)+(Assumptions!$N10/12)*Assumptions!$L$48</f>
        <v>312.5</v>
      </c>
      <c r="AF162" s="51">
        <f>(Assumptions!$N10/12)+(Assumptions!$N10/12)*Assumptions!$M$48</f>
        <v>400</v>
      </c>
      <c r="AG162" s="51">
        <f>(Assumptions!$N10/12)+(Assumptions!$N10/12)*Assumptions!$M$48</f>
        <v>400</v>
      </c>
      <c r="AH162" s="51">
        <f>(Assumptions!$N10/12)+(Assumptions!$N10/12)*Assumptions!$M$48</f>
        <v>400</v>
      </c>
      <c r="AI162" s="51">
        <f>(Assumptions!$N10/12)+(Assumptions!$N10/12)*Assumptions!$M$48</f>
        <v>400</v>
      </c>
      <c r="AJ162" s="51">
        <f>(Assumptions!$N10/12)+(Assumptions!$N10/12)*Assumptions!$M$48</f>
        <v>400</v>
      </c>
      <c r="AK162" s="51">
        <f>(Assumptions!$N10/12)+(Assumptions!$N10/12)*Assumptions!$M$48</f>
        <v>400</v>
      </c>
      <c r="AL162" s="51">
        <f>(Assumptions!$N10/12)+(Assumptions!$N10/12)*Assumptions!$M$48</f>
        <v>400</v>
      </c>
      <c r="AM162" s="51">
        <f>(Assumptions!$N10/12)+(Assumptions!$N10/12)*Assumptions!$M$48</f>
        <v>400</v>
      </c>
      <c r="AN162" s="51">
        <f>(Assumptions!$N10/12)+(Assumptions!$N10/12)*Assumptions!$M$48</f>
        <v>400</v>
      </c>
      <c r="AO162" s="51">
        <f>(Assumptions!$N10/12)+(Assumptions!$N10/12)*Assumptions!$M$48</f>
        <v>400</v>
      </c>
      <c r="AP162" s="51">
        <f>(Assumptions!$N10/12)+(Assumptions!$N10/12)*Assumptions!$M$48</f>
        <v>400</v>
      </c>
      <c r="AQ162" s="51">
        <f>(Assumptions!$N10/12)+(Assumptions!$N10/12)*Assumptions!$M$48</f>
        <v>400</v>
      </c>
      <c r="AR162" s="51">
        <f>(Assumptions!$N10/12)+(Assumptions!$N10/12)*Assumptions!$N$48</f>
        <v>575</v>
      </c>
      <c r="AS162" s="51">
        <f>(Assumptions!$N10/12)+(Assumptions!$N10/12)*Assumptions!$N$48</f>
        <v>575</v>
      </c>
      <c r="AT162" s="51">
        <f>(Assumptions!$N10/12)+(Assumptions!$N10/12)*Assumptions!$N$48</f>
        <v>575</v>
      </c>
      <c r="AU162" s="51">
        <f>(Assumptions!$N10/12)+(Assumptions!$N10/12)*Assumptions!$N$48</f>
        <v>575</v>
      </c>
      <c r="AV162" s="51">
        <f>(Assumptions!$N10/12)+(Assumptions!$N10/12)*Assumptions!$N$48</f>
        <v>575</v>
      </c>
      <c r="AW162" s="51">
        <f>(Assumptions!$N10/12)+(Assumptions!$N10/12)*Assumptions!$N$48</f>
        <v>575</v>
      </c>
      <c r="AX162" s="51">
        <f>(Assumptions!$N10/12)+(Assumptions!$N10/12)*Assumptions!$N$48</f>
        <v>575</v>
      </c>
      <c r="AY162" s="51">
        <f>(Assumptions!$N10/12)+(Assumptions!$N10/12)*Assumptions!$N$48</f>
        <v>575</v>
      </c>
      <c r="AZ162" s="51">
        <f>(Assumptions!$N10/12)+(Assumptions!$N10/12)*Assumptions!$N$48</f>
        <v>575</v>
      </c>
      <c r="BA162" s="51">
        <f>(Assumptions!$N10/12)+(Assumptions!$N10/12)*Assumptions!$N$48</f>
        <v>575</v>
      </c>
      <c r="BB162" s="51">
        <f>(Assumptions!$N10/12)+(Assumptions!$N10/12)*Assumptions!$N$48</f>
        <v>575</v>
      </c>
      <c r="BC162" s="51">
        <f>(Assumptions!$N10/12)+(Assumptions!$N10/12)*Assumptions!$N$48</f>
        <v>575</v>
      </c>
      <c r="BD162" s="51">
        <f>(Assumptions!$N10/12)+(Assumptions!$N10/12)*Assumptions!$O$48</f>
        <v>750</v>
      </c>
      <c r="BE162" s="51">
        <f>(Assumptions!$N10/12)+(Assumptions!$N10/12)*Assumptions!$O$48</f>
        <v>750</v>
      </c>
      <c r="BF162" s="51">
        <f>(Assumptions!$N10/12)+(Assumptions!$N10/12)*Assumptions!$O$48</f>
        <v>750</v>
      </c>
      <c r="BG162" s="51">
        <f>(Assumptions!$N10/12)+(Assumptions!$N10/12)*Assumptions!$O$48</f>
        <v>750</v>
      </c>
      <c r="BH162" s="51">
        <f>(Assumptions!$N10/12)+(Assumptions!$N10/12)*Assumptions!$O$48</f>
        <v>750</v>
      </c>
      <c r="BI162" s="51">
        <f>(Assumptions!$N10/12)+(Assumptions!$N10/12)*Assumptions!$O$48</f>
        <v>750</v>
      </c>
      <c r="BJ162" s="51">
        <f>(Assumptions!$N10/12)+(Assumptions!$N10/12)*Assumptions!$O$48</f>
        <v>750</v>
      </c>
      <c r="BK162" s="51">
        <f>(Assumptions!$N10/12)+(Assumptions!$N10/12)*Assumptions!$O$48</f>
        <v>750</v>
      </c>
      <c r="BL162" s="51">
        <f>(Assumptions!$N10/12)+(Assumptions!$N10/12)*Assumptions!$O$48</f>
        <v>750</v>
      </c>
      <c r="BM162" s="51">
        <f>(Assumptions!$N10/12)+(Assumptions!$N10/12)*Assumptions!$O$48</f>
        <v>750</v>
      </c>
      <c r="BN162" s="51">
        <f>(Assumptions!$N10/12)+(Assumptions!$N10/12)*Assumptions!$O$48</f>
        <v>750</v>
      </c>
      <c r="BO162" s="51">
        <f>(Assumptions!$N10/12)+(Assumptions!$N10/12)*Assumptions!$O$48</f>
        <v>750</v>
      </c>
    </row>
    <row r="163" spans="1:67" x14ac:dyDescent="0.25">
      <c r="A163" s="220" t="str">
        <f>Assumptions!$J$11</f>
        <v>Infrastructure and Database</v>
      </c>
      <c r="B163" s="202" t="b">
        <f>(H163*12)=Assumptions!N11</f>
        <v>1</v>
      </c>
      <c r="H163" s="221">
        <f>(Assumptions!$N11/12)+(Assumptions!$N11/12)*Assumptions!$K$45</f>
        <v>250</v>
      </c>
      <c r="I163" s="221">
        <f>(Assumptions!$N11/12)+(Assumptions!$N11/12)*Assumptions!$K$45</f>
        <v>250</v>
      </c>
      <c r="J163" s="221">
        <f>(Assumptions!$N11/12)+(Assumptions!$N11/12)*Assumptions!$K$45</f>
        <v>250</v>
      </c>
      <c r="K163" s="221">
        <f>(Assumptions!$N11/12)+(Assumptions!$N11/12)*Assumptions!$K$45</f>
        <v>250</v>
      </c>
      <c r="L163" s="221">
        <f>(Assumptions!$N11/12)+(Assumptions!$N11/12)*Assumptions!$K$45</f>
        <v>250</v>
      </c>
      <c r="M163" s="221">
        <f>(Assumptions!$N11/12)+(Assumptions!$N11/12)*Assumptions!$K$45</f>
        <v>250</v>
      </c>
      <c r="N163" s="221">
        <f>(Assumptions!$N11/12)+(Assumptions!$N11/12)*Assumptions!$K$45</f>
        <v>250</v>
      </c>
      <c r="O163" s="221">
        <f>(Assumptions!$N11/12)+(Assumptions!$N11/12)*Assumptions!$K$45</f>
        <v>250</v>
      </c>
      <c r="P163" s="221">
        <f>(Assumptions!$N11/12)+(Assumptions!$N11/12)*Assumptions!$K$45</f>
        <v>250</v>
      </c>
      <c r="Q163" s="221">
        <f>(Assumptions!$N11/12)+(Assumptions!$N11/12)*Assumptions!$K$45</f>
        <v>250</v>
      </c>
      <c r="R163" s="221">
        <f>(Assumptions!$N11/12)+(Assumptions!$N11/12)*Assumptions!$K$45</f>
        <v>250</v>
      </c>
      <c r="S163" s="221">
        <f>(Assumptions!$N11/12)+(Assumptions!$N11/12)*Assumptions!$K$45</f>
        <v>250</v>
      </c>
      <c r="T163" s="221">
        <f>(Assumptions!$N11/12)+(Assumptions!$N11/12)*Assumptions!$L$45</f>
        <v>1250</v>
      </c>
      <c r="U163" s="221">
        <f>(Assumptions!$N11/12)+(Assumptions!$N11/12)*Assumptions!$L$45</f>
        <v>1250</v>
      </c>
      <c r="V163" s="221">
        <f>(Assumptions!$N11/12)+(Assumptions!$N11/12)*Assumptions!$L$45</f>
        <v>1250</v>
      </c>
      <c r="W163" s="221">
        <f>(Assumptions!$N11/12)+(Assumptions!$N11/12)*Assumptions!$L$45</f>
        <v>1250</v>
      </c>
      <c r="X163" s="221">
        <f>(Assumptions!$N11/12)+(Assumptions!$N11/12)*Assumptions!$L$45</f>
        <v>1250</v>
      </c>
      <c r="Y163" s="221">
        <f>(Assumptions!$N11/12)+(Assumptions!$N11/12)*Assumptions!$L$45</f>
        <v>1250</v>
      </c>
      <c r="Z163" s="221">
        <f>(Assumptions!$N11/12)+(Assumptions!$N11/12)*Assumptions!$L$45</f>
        <v>1250</v>
      </c>
      <c r="AA163" s="221">
        <f>(Assumptions!$N11/12)+(Assumptions!$N11/12)*Assumptions!$L$45</f>
        <v>1250</v>
      </c>
      <c r="AB163" s="221">
        <f>(Assumptions!$N11/12)+(Assumptions!$N11/12)*Assumptions!$L$45</f>
        <v>1250</v>
      </c>
      <c r="AC163" s="221">
        <f>(Assumptions!$N11/12)+(Assumptions!$N11/12)*Assumptions!$L$45</f>
        <v>1250</v>
      </c>
      <c r="AD163" s="221">
        <f>(Assumptions!$N11/12)+(Assumptions!$N11/12)*Assumptions!$L$45</f>
        <v>1250</v>
      </c>
      <c r="AE163" s="221">
        <f>(Assumptions!$N11/12)+(Assumptions!$N11/12)*Assumptions!$L$45</f>
        <v>1250</v>
      </c>
      <c r="AF163" s="221">
        <f>(Assumptions!$N11/12)+(Assumptions!$N11/12)*Assumptions!$M$45</f>
        <v>2500</v>
      </c>
      <c r="AG163" s="221">
        <f>(Assumptions!$N11/12)+(Assumptions!$N11/12)*Assumptions!$M$45</f>
        <v>2500</v>
      </c>
      <c r="AH163" s="221">
        <f>(Assumptions!$N11/12)+(Assumptions!$N11/12)*Assumptions!$M$45</f>
        <v>2500</v>
      </c>
      <c r="AI163" s="221">
        <f>(Assumptions!$N11/12)+(Assumptions!$N11/12)*Assumptions!$M$45</f>
        <v>2500</v>
      </c>
      <c r="AJ163" s="221">
        <f>(Assumptions!$N11/12)+(Assumptions!$N11/12)*Assumptions!$M$45</f>
        <v>2500</v>
      </c>
      <c r="AK163" s="221">
        <f>(Assumptions!$N11/12)+(Assumptions!$N11/12)*Assumptions!$M$45</f>
        <v>2500</v>
      </c>
      <c r="AL163" s="221">
        <f>(Assumptions!$N11/12)+(Assumptions!$N11/12)*Assumptions!$M$45</f>
        <v>2500</v>
      </c>
      <c r="AM163" s="221">
        <f>(Assumptions!$N11/12)+(Assumptions!$N11/12)*Assumptions!$M$45</f>
        <v>2500</v>
      </c>
      <c r="AN163" s="221">
        <f>(Assumptions!$N11/12)+(Assumptions!$N11/12)*Assumptions!$M$45</f>
        <v>2500</v>
      </c>
      <c r="AO163" s="221">
        <f>(Assumptions!$N11/12)+(Assumptions!$N11/12)*Assumptions!$M$45</f>
        <v>2500</v>
      </c>
      <c r="AP163" s="221">
        <f>(Assumptions!$N11/12)+(Assumptions!$N11/12)*Assumptions!$M$45</f>
        <v>2500</v>
      </c>
      <c r="AQ163" s="221">
        <f>(Assumptions!$N11/12)+(Assumptions!$N11/12)*Assumptions!$M$45</f>
        <v>2500</v>
      </c>
      <c r="AR163" s="221">
        <f>(Assumptions!$N11/12)+(Assumptions!$N11/12)*Assumptions!$N$45</f>
        <v>4000</v>
      </c>
      <c r="AS163" s="221">
        <f>(Assumptions!$N11/12)+(Assumptions!$N11/12)*Assumptions!$N$45</f>
        <v>4000</v>
      </c>
      <c r="AT163" s="221">
        <f>(Assumptions!$N11/12)+(Assumptions!$N11/12)*Assumptions!$N$45</f>
        <v>4000</v>
      </c>
      <c r="AU163" s="221">
        <f>(Assumptions!$N11/12)+(Assumptions!$N11/12)*Assumptions!$N$45</f>
        <v>4000</v>
      </c>
      <c r="AV163" s="221">
        <f>(Assumptions!$N11/12)+(Assumptions!$N11/12)*Assumptions!$N$45</f>
        <v>4000</v>
      </c>
      <c r="AW163" s="221">
        <f>(Assumptions!$N11/12)+(Assumptions!$N11/12)*Assumptions!$N$45</f>
        <v>4000</v>
      </c>
      <c r="AX163" s="221">
        <f>(Assumptions!$N11/12)+(Assumptions!$N11/12)*Assumptions!$N$45</f>
        <v>4000</v>
      </c>
      <c r="AY163" s="221">
        <f>(Assumptions!$N11/12)+(Assumptions!$N11/12)*Assumptions!$N$45</f>
        <v>4000</v>
      </c>
      <c r="AZ163" s="221">
        <f>(Assumptions!$N11/12)+(Assumptions!$N11/12)*Assumptions!$N$45</f>
        <v>4000</v>
      </c>
      <c r="BA163" s="221">
        <f>(Assumptions!$N11/12)+(Assumptions!$N11/12)*Assumptions!$N$45</f>
        <v>4000</v>
      </c>
      <c r="BB163" s="221">
        <f>(Assumptions!$N11/12)+(Assumptions!$N11/12)*Assumptions!$N$45</f>
        <v>4000</v>
      </c>
      <c r="BC163" s="221">
        <f>(Assumptions!$N11/12)+(Assumptions!$N11/12)*Assumptions!$N$45</f>
        <v>4000</v>
      </c>
      <c r="BD163" s="221">
        <f>(Assumptions!$N11/12)+(Assumptions!$N11/12)*Assumptions!$O$45</f>
        <v>5750</v>
      </c>
      <c r="BE163" s="221">
        <f>(Assumptions!$N11/12)+(Assumptions!$N11/12)*Assumptions!$O$45</f>
        <v>5750</v>
      </c>
      <c r="BF163" s="221">
        <f>(Assumptions!$N11/12)+(Assumptions!$N11/12)*Assumptions!$O$45</f>
        <v>5750</v>
      </c>
      <c r="BG163" s="221">
        <f>(Assumptions!$N11/12)+(Assumptions!$N11/12)*Assumptions!$O$45</f>
        <v>5750</v>
      </c>
      <c r="BH163" s="221">
        <f>(Assumptions!$N11/12)+(Assumptions!$N11/12)*Assumptions!$O$45</f>
        <v>5750</v>
      </c>
      <c r="BI163" s="221">
        <f>(Assumptions!$N11/12)+(Assumptions!$N11/12)*Assumptions!$O$45</f>
        <v>5750</v>
      </c>
      <c r="BJ163" s="221">
        <f>(Assumptions!$N11/12)+(Assumptions!$N11/12)*Assumptions!$O$45</f>
        <v>5750</v>
      </c>
      <c r="BK163" s="221">
        <f>(Assumptions!$N11/12)+(Assumptions!$N11/12)*Assumptions!$O$45</f>
        <v>5750</v>
      </c>
      <c r="BL163" s="221">
        <f>(Assumptions!$N11/12)+(Assumptions!$N11/12)*Assumptions!$O$45</f>
        <v>5750</v>
      </c>
      <c r="BM163" s="221">
        <f>(Assumptions!$N11/12)+(Assumptions!$N11/12)*Assumptions!$O$45</f>
        <v>5750</v>
      </c>
      <c r="BN163" s="221">
        <f>(Assumptions!$N11/12)+(Assumptions!$N11/12)*Assumptions!$O$45</f>
        <v>5750</v>
      </c>
      <c r="BO163" s="221">
        <f>(Assumptions!$N11/12)+(Assumptions!$N11/12)*Assumptions!$O$45</f>
        <v>5750</v>
      </c>
    </row>
    <row r="164" spans="1:67" x14ac:dyDescent="0.25">
      <c r="A164" s="213" t="str">
        <f>Assumptions!$J$12</f>
        <v>General Administration</v>
      </c>
      <c r="B164" s="202" t="b">
        <f>(H164*12)=Assumptions!N12</f>
        <v>1</v>
      </c>
      <c r="H164" s="51">
        <f>(Assumptions!$N12/12)+(Assumptions!$N12/12)*Assumptions!$K$48</f>
        <v>250</v>
      </c>
      <c r="I164" s="51">
        <f>(Assumptions!$N12/12)+(Assumptions!$N12/12)*Assumptions!$K$48</f>
        <v>250</v>
      </c>
      <c r="J164" s="51">
        <f>(Assumptions!$N12/12)+(Assumptions!$N12/12)*Assumptions!$K$48</f>
        <v>250</v>
      </c>
      <c r="K164" s="51">
        <f>(Assumptions!$N12/12)+(Assumptions!$N12/12)*Assumptions!$K$48</f>
        <v>250</v>
      </c>
      <c r="L164" s="51">
        <f>(Assumptions!$N12/12)+(Assumptions!$N12/12)*Assumptions!$K$48</f>
        <v>250</v>
      </c>
      <c r="M164" s="51">
        <f>(Assumptions!$N12/12)+(Assumptions!$N12/12)*Assumptions!$K$48</f>
        <v>250</v>
      </c>
      <c r="N164" s="51">
        <f>(Assumptions!$N12/12)+(Assumptions!$N12/12)*Assumptions!$K$48</f>
        <v>250</v>
      </c>
      <c r="O164" s="51">
        <f>(Assumptions!$N12/12)+(Assumptions!$N12/12)*Assumptions!$K$48</f>
        <v>250</v>
      </c>
      <c r="P164" s="51">
        <f>(Assumptions!$N12/12)+(Assumptions!$N12/12)*Assumptions!$K$48</f>
        <v>250</v>
      </c>
      <c r="Q164" s="51">
        <f>(Assumptions!$N12/12)+(Assumptions!$N12/12)*Assumptions!$K$48</f>
        <v>250</v>
      </c>
      <c r="R164" s="51">
        <f>(Assumptions!$N12/12)+(Assumptions!$N12/12)*Assumptions!$K$48</f>
        <v>250</v>
      </c>
      <c r="S164" s="51">
        <f>(Assumptions!$N12/12)+(Assumptions!$N12/12)*Assumptions!$K$48</f>
        <v>250</v>
      </c>
      <c r="T164" s="51">
        <f>(Assumptions!$N12/12)+(Assumptions!$N12/12)*Assumptions!$L$48</f>
        <v>312.5</v>
      </c>
      <c r="U164" s="51">
        <f>(Assumptions!$N12/12)+(Assumptions!$N12/12)*Assumptions!$L$48</f>
        <v>312.5</v>
      </c>
      <c r="V164" s="51">
        <f>(Assumptions!$N12/12)+(Assumptions!$N12/12)*Assumptions!$L$48</f>
        <v>312.5</v>
      </c>
      <c r="W164" s="51">
        <f>(Assumptions!$N12/12)+(Assumptions!$N12/12)*Assumptions!$L$48</f>
        <v>312.5</v>
      </c>
      <c r="X164" s="51">
        <f>(Assumptions!$N12/12)+(Assumptions!$N12/12)*Assumptions!$L$48</f>
        <v>312.5</v>
      </c>
      <c r="Y164" s="51">
        <f>(Assumptions!$N12/12)+(Assumptions!$N12/12)*Assumptions!$L$48</f>
        <v>312.5</v>
      </c>
      <c r="Z164" s="51">
        <f>(Assumptions!$N12/12)+(Assumptions!$N12/12)*Assumptions!$L$48</f>
        <v>312.5</v>
      </c>
      <c r="AA164" s="51">
        <f>(Assumptions!$N12/12)+(Assumptions!$N12/12)*Assumptions!$L$48</f>
        <v>312.5</v>
      </c>
      <c r="AB164" s="51">
        <f>(Assumptions!$N12/12)+(Assumptions!$N12/12)*Assumptions!$L$48</f>
        <v>312.5</v>
      </c>
      <c r="AC164" s="51">
        <f>(Assumptions!$N12/12)+(Assumptions!$N12/12)*Assumptions!$L$48</f>
        <v>312.5</v>
      </c>
      <c r="AD164" s="51">
        <f>(Assumptions!$N12/12)+(Assumptions!$N12/12)*Assumptions!$L$48</f>
        <v>312.5</v>
      </c>
      <c r="AE164" s="51">
        <f>(Assumptions!$N12/12)+(Assumptions!$N12/12)*Assumptions!$L$48</f>
        <v>312.5</v>
      </c>
      <c r="AF164" s="51">
        <f>(Assumptions!$N12/12)+(Assumptions!$N12/12)*Assumptions!$M$48</f>
        <v>400</v>
      </c>
      <c r="AG164" s="51">
        <f>(Assumptions!$N12/12)+(Assumptions!$N12/12)*Assumptions!$M$48</f>
        <v>400</v>
      </c>
      <c r="AH164" s="51">
        <f>(Assumptions!$N12/12)+(Assumptions!$N12/12)*Assumptions!$M$48</f>
        <v>400</v>
      </c>
      <c r="AI164" s="51">
        <f>(Assumptions!$N12/12)+(Assumptions!$N12/12)*Assumptions!$M$48</f>
        <v>400</v>
      </c>
      <c r="AJ164" s="51">
        <f>(Assumptions!$N12/12)+(Assumptions!$N12/12)*Assumptions!$M$48</f>
        <v>400</v>
      </c>
      <c r="AK164" s="51">
        <f>(Assumptions!$N12/12)+(Assumptions!$N12/12)*Assumptions!$M$48</f>
        <v>400</v>
      </c>
      <c r="AL164" s="51">
        <f>(Assumptions!$N12/12)+(Assumptions!$N12/12)*Assumptions!$M$48</f>
        <v>400</v>
      </c>
      <c r="AM164" s="51">
        <f>(Assumptions!$N12/12)+(Assumptions!$N12/12)*Assumptions!$M$48</f>
        <v>400</v>
      </c>
      <c r="AN164" s="51">
        <f>(Assumptions!$N12/12)+(Assumptions!$N12/12)*Assumptions!$M$48</f>
        <v>400</v>
      </c>
      <c r="AO164" s="51">
        <f>(Assumptions!$N12/12)+(Assumptions!$N12/12)*Assumptions!$M$48</f>
        <v>400</v>
      </c>
      <c r="AP164" s="51">
        <f>(Assumptions!$N12/12)+(Assumptions!$N12/12)*Assumptions!$M$48</f>
        <v>400</v>
      </c>
      <c r="AQ164" s="51">
        <f>(Assumptions!$N12/12)+(Assumptions!$N12/12)*Assumptions!$M$48</f>
        <v>400</v>
      </c>
      <c r="AR164" s="51">
        <f>(Assumptions!$N12/12)+(Assumptions!$N12/12)*Assumptions!$N$48</f>
        <v>575</v>
      </c>
      <c r="AS164" s="51">
        <f>(Assumptions!$N12/12)+(Assumptions!$N12/12)*Assumptions!$N$48</f>
        <v>575</v>
      </c>
      <c r="AT164" s="51">
        <f>(Assumptions!$N12/12)+(Assumptions!$N12/12)*Assumptions!$N$48</f>
        <v>575</v>
      </c>
      <c r="AU164" s="51">
        <f>(Assumptions!$N12/12)+(Assumptions!$N12/12)*Assumptions!$N$48</f>
        <v>575</v>
      </c>
      <c r="AV164" s="51">
        <f>(Assumptions!$N12/12)+(Assumptions!$N12/12)*Assumptions!$N$48</f>
        <v>575</v>
      </c>
      <c r="AW164" s="51">
        <f>(Assumptions!$N12/12)+(Assumptions!$N12/12)*Assumptions!$N$48</f>
        <v>575</v>
      </c>
      <c r="AX164" s="51">
        <f>(Assumptions!$N12/12)+(Assumptions!$N12/12)*Assumptions!$N$48</f>
        <v>575</v>
      </c>
      <c r="AY164" s="51">
        <f>(Assumptions!$N12/12)+(Assumptions!$N12/12)*Assumptions!$N$48</f>
        <v>575</v>
      </c>
      <c r="AZ164" s="51">
        <f>(Assumptions!$N12/12)+(Assumptions!$N12/12)*Assumptions!$N$48</f>
        <v>575</v>
      </c>
      <c r="BA164" s="51">
        <f>(Assumptions!$N12/12)+(Assumptions!$N12/12)*Assumptions!$N$48</f>
        <v>575</v>
      </c>
      <c r="BB164" s="51">
        <f>(Assumptions!$N12/12)+(Assumptions!$N12/12)*Assumptions!$N$48</f>
        <v>575</v>
      </c>
      <c r="BC164" s="51">
        <f>(Assumptions!$N12/12)+(Assumptions!$N12/12)*Assumptions!$N$48</f>
        <v>575</v>
      </c>
      <c r="BD164" s="51">
        <f>(Assumptions!$N12/12)+(Assumptions!$N12/12)*Assumptions!$O$48</f>
        <v>750</v>
      </c>
      <c r="BE164" s="51">
        <f>(Assumptions!$N12/12)+(Assumptions!$N12/12)*Assumptions!$O$48</f>
        <v>750</v>
      </c>
      <c r="BF164" s="51">
        <f>(Assumptions!$N12/12)+(Assumptions!$N12/12)*Assumptions!$O$48</f>
        <v>750</v>
      </c>
      <c r="BG164" s="51">
        <f>(Assumptions!$N12/12)+(Assumptions!$N12/12)*Assumptions!$O$48</f>
        <v>750</v>
      </c>
      <c r="BH164" s="51">
        <f>(Assumptions!$N12/12)+(Assumptions!$N12/12)*Assumptions!$O$48</f>
        <v>750</v>
      </c>
      <c r="BI164" s="51">
        <f>(Assumptions!$N12/12)+(Assumptions!$N12/12)*Assumptions!$O$48</f>
        <v>750</v>
      </c>
      <c r="BJ164" s="51">
        <f>(Assumptions!$N12/12)+(Assumptions!$N12/12)*Assumptions!$O$48</f>
        <v>750</v>
      </c>
      <c r="BK164" s="51">
        <f>(Assumptions!$N12/12)+(Assumptions!$N12/12)*Assumptions!$O$48</f>
        <v>750</v>
      </c>
      <c r="BL164" s="51">
        <f>(Assumptions!$N12/12)+(Assumptions!$N12/12)*Assumptions!$O$48</f>
        <v>750</v>
      </c>
      <c r="BM164" s="51">
        <f>(Assumptions!$N12/12)+(Assumptions!$N12/12)*Assumptions!$O$48</f>
        <v>750</v>
      </c>
      <c r="BN164" s="51">
        <f>(Assumptions!$N12/12)+(Assumptions!$N12/12)*Assumptions!$O$48</f>
        <v>750</v>
      </c>
      <c r="BO164" s="51">
        <f>(Assumptions!$N12/12)+(Assumptions!$N12/12)*Assumptions!$O$48</f>
        <v>750</v>
      </c>
    </row>
    <row r="165" spans="1:67" x14ac:dyDescent="0.25">
      <c r="A165" s="220" t="str">
        <f>Assumptions!$J$13</f>
        <v>Customer Support</v>
      </c>
      <c r="B165" s="202" t="b">
        <f>(H165*12)=Assumptions!N13</f>
        <v>1</v>
      </c>
      <c r="H165" s="221">
        <f>(Assumptions!$N13/12)+(Assumptions!$N13/12)*Assumptions!$K$45</f>
        <v>250</v>
      </c>
      <c r="I165" s="221">
        <f>(Assumptions!$N13/12)+(Assumptions!$N13/12)*Assumptions!$K$45</f>
        <v>250</v>
      </c>
      <c r="J165" s="221">
        <f>(Assumptions!$N13/12)+(Assumptions!$N13/12)*Assumptions!$K$45</f>
        <v>250</v>
      </c>
      <c r="K165" s="221">
        <f>(Assumptions!$N13/12)+(Assumptions!$N13/12)*Assumptions!$K$45</f>
        <v>250</v>
      </c>
      <c r="L165" s="221">
        <f>(Assumptions!$N13/12)+(Assumptions!$N13/12)*Assumptions!$K$45</f>
        <v>250</v>
      </c>
      <c r="M165" s="221">
        <f>(Assumptions!$N13/12)+(Assumptions!$N13/12)*Assumptions!$K$45</f>
        <v>250</v>
      </c>
      <c r="N165" s="221">
        <f>(Assumptions!$N13/12)+(Assumptions!$N13/12)*Assumptions!$K$45</f>
        <v>250</v>
      </c>
      <c r="O165" s="221">
        <f>(Assumptions!$N13/12)+(Assumptions!$N13/12)*Assumptions!$K$45</f>
        <v>250</v>
      </c>
      <c r="P165" s="221">
        <f>(Assumptions!$N13/12)+(Assumptions!$N13/12)*Assumptions!$K$45</f>
        <v>250</v>
      </c>
      <c r="Q165" s="221">
        <f>(Assumptions!$N13/12)+(Assumptions!$N13/12)*Assumptions!$K$45</f>
        <v>250</v>
      </c>
      <c r="R165" s="221">
        <f>(Assumptions!$N13/12)+(Assumptions!$N13/12)*Assumptions!$K$45</f>
        <v>250</v>
      </c>
      <c r="S165" s="221">
        <f>(Assumptions!$N13/12)+(Assumptions!$N13/12)*Assumptions!$K$45</f>
        <v>250</v>
      </c>
      <c r="T165" s="221">
        <f>(Assumptions!$N13/12)+(Assumptions!$N13/12)*Assumptions!$L$45</f>
        <v>1250</v>
      </c>
      <c r="U165" s="221">
        <f>(Assumptions!$N13/12)+(Assumptions!$N13/12)*Assumptions!$L$45</f>
        <v>1250</v>
      </c>
      <c r="V165" s="221">
        <f>(Assumptions!$N13/12)+(Assumptions!$N13/12)*Assumptions!$L$45</f>
        <v>1250</v>
      </c>
      <c r="W165" s="221">
        <f>(Assumptions!$N13/12)+(Assumptions!$N13/12)*Assumptions!$L$45</f>
        <v>1250</v>
      </c>
      <c r="X165" s="221">
        <f>(Assumptions!$N13/12)+(Assumptions!$N13/12)*Assumptions!$L$45</f>
        <v>1250</v>
      </c>
      <c r="Y165" s="221">
        <f>(Assumptions!$N13/12)+(Assumptions!$N13/12)*Assumptions!$L$45</f>
        <v>1250</v>
      </c>
      <c r="Z165" s="221">
        <f>(Assumptions!$N13/12)+(Assumptions!$N13/12)*Assumptions!$L$45</f>
        <v>1250</v>
      </c>
      <c r="AA165" s="221">
        <f>(Assumptions!$N13/12)+(Assumptions!$N13/12)*Assumptions!$L$45</f>
        <v>1250</v>
      </c>
      <c r="AB165" s="221">
        <f>(Assumptions!$N13/12)+(Assumptions!$N13/12)*Assumptions!$L$45</f>
        <v>1250</v>
      </c>
      <c r="AC165" s="221">
        <f>(Assumptions!$N13/12)+(Assumptions!$N13/12)*Assumptions!$L$45</f>
        <v>1250</v>
      </c>
      <c r="AD165" s="221">
        <f>(Assumptions!$N13/12)+(Assumptions!$N13/12)*Assumptions!$L$45</f>
        <v>1250</v>
      </c>
      <c r="AE165" s="221">
        <f>(Assumptions!$N13/12)+(Assumptions!$N13/12)*Assumptions!$L$45</f>
        <v>1250</v>
      </c>
      <c r="AF165" s="221">
        <f>(Assumptions!$N13/12)+(Assumptions!$N13/12)*Assumptions!$M$45</f>
        <v>2500</v>
      </c>
      <c r="AG165" s="221">
        <f>(Assumptions!$N13/12)+(Assumptions!$N13/12)*Assumptions!$M$45</f>
        <v>2500</v>
      </c>
      <c r="AH165" s="221">
        <f>(Assumptions!$N13/12)+(Assumptions!$N13/12)*Assumptions!$M$45</f>
        <v>2500</v>
      </c>
      <c r="AI165" s="221">
        <f>(Assumptions!$N13/12)+(Assumptions!$N13/12)*Assumptions!$M$45</f>
        <v>2500</v>
      </c>
      <c r="AJ165" s="221">
        <f>(Assumptions!$N13/12)+(Assumptions!$N13/12)*Assumptions!$M$45</f>
        <v>2500</v>
      </c>
      <c r="AK165" s="221">
        <f>(Assumptions!$N13/12)+(Assumptions!$N13/12)*Assumptions!$M$45</f>
        <v>2500</v>
      </c>
      <c r="AL165" s="221">
        <f>(Assumptions!$N13/12)+(Assumptions!$N13/12)*Assumptions!$M$45</f>
        <v>2500</v>
      </c>
      <c r="AM165" s="221">
        <f>(Assumptions!$N13/12)+(Assumptions!$N13/12)*Assumptions!$M$45</f>
        <v>2500</v>
      </c>
      <c r="AN165" s="221">
        <f>(Assumptions!$N13/12)+(Assumptions!$N13/12)*Assumptions!$M$45</f>
        <v>2500</v>
      </c>
      <c r="AO165" s="221">
        <f>(Assumptions!$N13/12)+(Assumptions!$N13/12)*Assumptions!$M$45</f>
        <v>2500</v>
      </c>
      <c r="AP165" s="221">
        <f>(Assumptions!$N13/12)+(Assumptions!$N13/12)*Assumptions!$M$45</f>
        <v>2500</v>
      </c>
      <c r="AQ165" s="221">
        <f>(Assumptions!$N13/12)+(Assumptions!$N13/12)*Assumptions!$M$45</f>
        <v>2500</v>
      </c>
      <c r="AR165" s="221">
        <f>(Assumptions!$N13/12)+(Assumptions!$N13/12)*Assumptions!$N$45</f>
        <v>4000</v>
      </c>
      <c r="AS165" s="221">
        <f>(Assumptions!$N13/12)+(Assumptions!$N13/12)*Assumptions!$N$45</f>
        <v>4000</v>
      </c>
      <c r="AT165" s="221">
        <f>(Assumptions!$N13/12)+(Assumptions!$N13/12)*Assumptions!$N$45</f>
        <v>4000</v>
      </c>
      <c r="AU165" s="221">
        <f>(Assumptions!$N13/12)+(Assumptions!$N13/12)*Assumptions!$N$45</f>
        <v>4000</v>
      </c>
      <c r="AV165" s="221">
        <f>(Assumptions!$N13/12)+(Assumptions!$N13/12)*Assumptions!$N$45</f>
        <v>4000</v>
      </c>
      <c r="AW165" s="221">
        <f>(Assumptions!$N13/12)+(Assumptions!$N13/12)*Assumptions!$N$45</f>
        <v>4000</v>
      </c>
      <c r="AX165" s="221">
        <f>(Assumptions!$N13/12)+(Assumptions!$N13/12)*Assumptions!$N$45</f>
        <v>4000</v>
      </c>
      <c r="AY165" s="221">
        <f>(Assumptions!$N13/12)+(Assumptions!$N13/12)*Assumptions!$N$45</f>
        <v>4000</v>
      </c>
      <c r="AZ165" s="221">
        <f>(Assumptions!$N13/12)+(Assumptions!$N13/12)*Assumptions!$N$45</f>
        <v>4000</v>
      </c>
      <c r="BA165" s="221">
        <f>(Assumptions!$N13/12)+(Assumptions!$N13/12)*Assumptions!$N$45</f>
        <v>4000</v>
      </c>
      <c r="BB165" s="221">
        <f>(Assumptions!$N13/12)+(Assumptions!$N13/12)*Assumptions!$N$45</f>
        <v>4000</v>
      </c>
      <c r="BC165" s="221">
        <f>(Assumptions!$N13/12)+(Assumptions!$N13/12)*Assumptions!$N$45</f>
        <v>4000</v>
      </c>
      <c r="BD165" s="221">
        <f>(Assumptions!$N13/12)+(Assumptions!$N13/12)*Assumptions!$O$45</f>
        <v>5750</v>
      </c>
      <c r="BE165" s="221">
        <f>(Assumptions!$N13/12)+(Assumptions!$N13/12)*Assumptions!$O$45</f>
        <v>5750</v>
      </c>
      <c r="BF165" s="221">
        <f>(Assumptions!$N13/12)+(Assumptions!$N13/12)*Assumptions!$O$45</f>
        <v>5750</v>
      </c>
      <c r="BG165" s="221">
        <f>(Assumptions!$N13/12)+(Assumptions!$N13/12)*Assumptions!$O$45</f>
        <v>5750</v>
      </c>
      <c r="BH165" s="221">
        <f>(Assumptions!$N13/12)+(Assumptions!$N13/12)*Assumptions!$O$45</f>
        <v>5750</v>
      </c>
      <c r="BI165" s="221">
        <f>(Assumptions!$N13/12)+(Assumptions!$N13/12)*Assumptions!$O$45</f>
        <v>5750</v>
      </c>
      <c r="BJ165" s="221">
        <f>(Assumptions!$N13/12)+(Assumptions!$N13/12)*Assumptions!$O$45</f>
        <v>5750</v>
      </c>
      <c r="BK165" s="221">
        <f>(Assumptions!$N13/12)+(Assumptions!$N13/12)*Assumptions!$O$45</f>
        <v>5750</v>
      </c>
      <c r="BL165" s="221">
        <f>(Assumptions!$N13/12)+(Assumptions!$N13/12)*Assumptions!$O$45</f>
        <v>5750</v>
      </c>
      <c r="BM165" s="221">
        <f>(Assumptions!$N13/12)+(Assumptions!$N13/12)*Assumptions!$O$45</f>
        <v>5750</v>
      </c>
      <c r="BN165" s="221">
        <f>(Assumptions!$N13/12)+(Assumptions!$N13/12)*Assumptions!$O$45</f>
        <v>5750</v>
      </c>
      <c r="BO165" s="221">
        <f>(Assumptions!$N13/12)+(Assumptions!$N13/12)*Assumptions!$O$45</f>
        <v>5750</v>
      </c>
    </row>
    <row r="166" spans="1:67" s="25" customFormat="1" x14ac:dyDescent="0.25">
      <c r="A166" s="25" t="s">
        <v>243</v>
      </c>
      <c r="B166" s="202">
        <f>MAX(D166:AQ166)</f>
        <v>6200</v>
      </c>
      <c r="D166" s="25">
        <f>SUM(D161:D165)</f>
        <v>0</v>
      </c>
      <c r="E166" s="25">
        <f t="shared" ref="E166:BO166" si="41">SUM(E161:E165)</f>
        <v>0</v>
      </c>
      <c r="F166" s="25">
        <f t="shared" si="41"/>
        <v>0</v>
      </c>
      <c r="G166" s="25">
        <f t="shared" si="41"/>
        <v>0</v>
      </c>
      <c r="H166" s="25">
        <f t="shared" si="41"/>
        <v>1250</v>
      </c>
      <c r="I166" s="25">
        <f t="shared" si="41"/>
        <v>1250</v>
      </c>
      <c r="J166" s="25">
        <f t="shared" si="41"/>
        <v>1250</v>
      </c>
      <c r="K166" s="25">
        <f t="shared" si="41"/>
        <v>1250</v>
      </c>
      <c r="L166" s="25">
        <f t="shared" si="41"/>
        <v>1250</v>
      </c>
      <c r="M166" s="25">
        <f t="shared" si="41"/>
        <v>1250</v>
      </c>
      <c r="N166" s="25">
        <f t="shared" si="41"/>
        <v>1250</v>
      </c>
      <c r="O166" s="25">
        <f t="shared" si="41"/>
        <v>1250</v>
      </c>
      <c r="P166" s="25">
        <f t="shared" si="41"/>
        <v>1250</v>
      </c>
      <c r="Q166" s="25">
        <f t="shared" si="41"/>
        <v>1250</v>
      </c>
      <c r="R166" s="25">
        <f t="shared" si="41"/>
        <v>1250</v>
      </c>
      <c r="S166" s="25">
        <f t="shared" si="41"/>
        <v>1250</v>
      </c>
      <c r="T166" s="25">
        <f t="shared" si="41"/>
        <v>3437.5</v>
      </c>
      <c r="U166" s="25">
        <f t="shared" si="41"/>
        <v>3437.5</v>
      </c>
      <c r="V166" s="25">
        <f t="shared" si="41"/>
        <v>3437.5</v>
      </c>
      <c r="W166" s="25">
        <f t="shared" si="41"/>
        <v>3437.5</v>
      </c>
      <c r="X166" s="25">
        <f t="shared" si="41"/>
        <v>3437.5</v>
      </c>
      <c r="Y166" s="25">
        <f t="shared" si="41"/>
        <v>3437.5</v>
      </c>
      <c r="Z166" s="25">
        <f t="shared" si="41"/>
        <v>3437.5</v>
      </c>
      <c r="AA166" s="25">
        <f t="shared" si="41"/>
        <v>3437.5</v>
      </c>
      <c r="AB166" s="25">
        <f t="shared" si="41"/>
        <v>3437.5</v>
      </c>
      <c r="AC166" s="25">
        <f t="shared" si="41"/>
        <v>3437.5</v>
      </c>
      <c r="AD166" s="25">
        <f t="shared" si="41"/>
        <v>3437.5</v>
      </c>
      <c r="AE166" s="25">
        <f t="shared" si="41"/>
        <v>3437.5</v>
      </c>
      <c r="AF166" s="25">
        <f t="shared" si="41"/>
        <v>6200</v>
      </c>
      <c r="AG166" s="25">
        <f t="shared" si="41"/>
        <v>6200</v>
      </c>
      <c r="AH166" s="25">
        <f t="shared" si="41"/>
        <v>6200</v>
      </c>
      <c r="AI166" s="25">
        <f t="shared" si="41"/>
        <v>6200</v>
      </c>
      <c r="AJ166" s="25">
        <f t="shared" si="41"/>
        <v>6200</v>
      </c>
      <c r="AK166" s="25">
        <f t="shared" si="41"/>
        <v>6200</v>
      </c>
      <c r="AL166" s="25">
        <f t="shared" si="41"/>
        <v>6200</v>
      </c>
      <c r="AM166" s="25">
        <f t="shared" si="41"/>
        <v>6200</v>
      </c>
      <c r="AN166" s="25">
        <f t="shared" si="41"/>
        <v>6200</v>
      </c>
      <c r="AO166" s="25">
        <f t="shared" si="41"/>
        <v>6200</v>
      </c>
      <c r="AP166" s="25">
        <f t="shared" si="41"/>
        <v>6200</v>
      </c>
      <c r="AQ166" s="25">
        <f t="shared" si="41"/>
        <v>6200</v>
      </c>
      <c r="AR166" s="25">
        <f t="shared" si="41"/>
        <v>9725</v>
      </c>
      <c r="AS166" s="25">
        <f t="shared" si="41"/>
        <v>9725</v>
      </c>
      <c r="AT166" s="25">
        <f t="shared" si="41"/>
        <v>9725</v>
      </c>
      <c r="AU166" s="25">
        <f t="shared" si="41"/>
        <v>9725</v>
      </c>
      <c r="AV166" s="25">
        <f t="shared" si="41"/>
        <v>9725</v>
      </c>
      <c r="AW166" s="25">
        <f t="shared" si="41"/>
        <v>9725</v>
      </c>
      <c r="AX166" s="25">
        <f t="shared" si="41"/>
        <v>9725</v>
      </c>
      <c r="AY166" s="25">
        <f t="shared" si="41"/>
        <v>9725</v>
      </c>
      <c r="AZ166" s="25">
        <f t="shared" si="41"/>
        <v>9725</v>
      </c>
      <c r="BA166" s="25">
        <f t="shared" si="41"/>
        <v>9725</v>
      </c>
      <c r="BB166" s="25">
        <f t="shared" si="41"/>
        <v>9725</v>
      </c>
      <c r="BC166" s="25">
        <f t="shared" si="41"/>
        <v>9725</v>
      </c>
      <c r="BD166" s="25">
        <f t="shared" si="41"/>
        <v>13750</v>
      </c>
      <c r="BE166" s="25">
        <f t="shared" si="41"/>
        <v>13750</v>
      </c>
      <c r="BF166" s="25">
        <f t="shared" si="41"/>
        <v>13750</v>
      </c>
      <c r="BG166" s="25">
        <f t="shared" si="41"/>
        <v>13750</v>
      </c>
      <c r="BH166" s="25">
        <f t="shared" si="41"/>
        <v>13750</v>
      </c>
      <c r="BI166" s="25">
        <f t="shared" si="41"/>
        <v>13750</v>
      </c>
      <c r="BJ166" s="25">
        <f t="shared" si="41"/>
        <v>13750</v>
      </c>
      <c r="BK166" s="25">
        <f t="shared" si="41"/>
        <v>13750</v>
      </c>
      <c r="BL166" s="25">
        <f t="shared" si="41"/>
        <v>13750</v>
      </c>
      <c r="BM166" s="25">
        <f t="shared" si="41"/>
        <v>13750</v>
      </c>
      <c r="BN166" s="25">
        <f t="shared" si="41"/>
        <v>13750</v>
      </c>
      <c r="BO166" s="25">
        <f t="shared" si="41"/>
        <v>13750</v>
      </c>
    </row>
    <row r="167" spans="1:67" x14ac:dyDescent="0.25">
      <c r="B167" s="202"/>
    </row>
    <row r="168" spans="1:67" x14ac:dyDescent="0.25">
      <c r="A168" s="197" t="s">
        <v>191</v>
      </c>
      <c r="B168" s="202"/>
    </row>
    <row r="169" spans="1:67" x14ac:dyDescent="0.25">
      <c r="A169" s="220" t="str">
        <f>Assumptions!$J$16</f>
        <v>CTO</v>
      </c>
      <c r="B169" s="202" t="b">
        <f>(H169*12)=Assumptions!N16</f>
        <v>1</v>
      </c>
      <c r="H169" s="221">
        <f>(Assumptions!$N16/12)+(Assumptions!$N16/12)*Assumptions!$K$45</f>
        <v>250</v>
      </c>
      <c r="I169" s="221">
        <f>(Assumptions!$N16/12)+(Assumptions!$N16/12)*Assumptions!$K$45</f>
        <v>250</v>
      </c>
      <c r="J169" s="221">
        <f>(Assumptions!$N16/12)+(Assumptions!$N16/12)*Assumptions!$K$45</f>
        <v>250</v>
      </c>
      <c r="K169" s="221">
        <f>(Assumptions!$N16/12)+(Assumptions!$N16/12)*Assumptions!$K$45</f>
        <v>250</v>
      </c>
      <c r="L169" s="221">
        <f>(Assumptions!$N16/12)+(Assumptions!$N16/12)*Assumptions!$K$45</f>
        <v>250</v>
      </c>
      <c r="M169" s="221">
        <f>(Assumptions!$N16/12)+(Assumptions!$N16/12)*Assumptions!$K$45</f>
        <v>250</v>
      </c>
      <c r="N169" s="221">
        <f>(Assumptions!$N16/12)+(Assumptions!$N16/12)*Assumptions!$K$45</f>
        <v>250</v>
      </c>
      <c r="O169" s="221">
        <f>(Assumptions!$N16/12)+(Assumptions!$N16/12)*Assumptions!$K$45</f>
        <v>250</v>
      </c>
      <c r="P169" s="221">
        <f>(Assumptions!$N16/12)+(Assumptions!$N16/12)*Assumptions!$K$45</f>
        <v>250</v>
      </c>
      <c r="Q169" s="221">
        <f>(Assumptions!$N16/12)+(Assumptions!$N16/12)*Assumptions!$K$45</f>
        <v>250</v>
      </c>
      <c r="R169" s="221">
        <f>(Assumptions!$N16/12)+(Assumptions!$N16/12)*Assumptions!$K$45</f>
        <v>250</v>
      </c>
      <c r="S169" s="221">
        <f>(Assumptions!$N16/12)+(Assumptions!$N16/12)*Assumptions!$K$45</f>
        <v>250</v>
      </c>
      <c r="T169" s="221">
        <f>(Assumptions!$N16/12)+(Assumptions!$N16/12)*Assumptions!$L$45</f>
        <v>1250</v>
      </c>
      <c r="U169" s="221">
        <f>(Assumptions!$N16/12)+(Assumptions!$N16/12)*Assumptions!$L$45</f>
        <v>1250</v>
      </c>
      <c r="V169" s="221">
        <f>(Assumptions!$N16/12)+(Assumptions!$N16/12)*Assumptions!$L$45</f>
        <v>1250</v>
      </c>
      <c r="W169" s="221">
        <f>(Assumptions!$N16/12)+(Assumptions!$N16/12)*Assumptions!$L$45</f>
        <v>1250</v>
      </c>
      <c r="X169" s="221">
        <f>(Assumptions!$N16/12)+(Assumptions!$N16/12)*Assumptions!$L$45</f>
        <v>1250</v>
      </c>
      <c r="Y169" s="221">
        <f>(Assumptions!$N16/12)+(Assumptions!$N16/12)*Assumptions!$L$45</f>
        <v>1250</v>
      </c>
      <c r="Z169" s="221">
        <f>(Assumptions!$N16/12)+(Assumptions!$N16/12)*Assumptions!$L$45</f>
        <v>1250</v>
      </c>
      <c r="AA169" s="221">
        <f>(Assumptions!$N16/12)+(Assumptions!$N16/12)*Assumptions!$L$45</f>
        <v>1250</v>
      </c>
      <c r="AB169" s="221">
        <f>(Assumptions!$N16/12)+(Assumptions!$N16/12)*Assumptions!$L$45</f>
        <v>1250</v>
      </c>
      <c r="AC169" s="221">
        <f>(Assumptions!$N16/12)+(Assumptions!$N16/12)*Assumptions!$L$45</f>
        <v>1250</v>
      </c>
      <c r="AD169" s="221">
        <f>(Assumptions!$N16/12)+(Assumptions!$N16/12)*Assumptions!$L$45</f>
        <v>1250</v>
      </c>
      <c r="AE169" s="221">
        <f>(Assumptions!$N16/12)+(Assumptions!$N16/12)*Assumptions!$L$45</f>
        <v>1250</v>
      </c>
      <c r="AF169" s="221">
        <f>(Assumptions!$N16/12)+(Assumptions!$N16/12)*Assumptions!$M$45</f>
        <v>2500</v>
      </c>
      <c r="AG169" s="221">
        <f>(Assumptions!$N16/12)+(Assumptions!$N16/12)*Assumptions!$M$45</f>
        <v>2500</v>
      </c>
      <c r="AH169" s="221">
        <f>(Assumptions!$N16/12)+(Assumptions!$N16/12)*Assumptions!$M$45</f>
        <v>2500</v>
      </c>
      <c r="AI169" s="221">
        <f>(Assumptions!$N16/12)+(Assumptions!$N16/12)*Assumptions!$M$45</f>
        <v>2500</v>
      </c>
      <c r="AJ169" s="221">
        <f>(Assumptions!$N16/12)+(Assumptions!$N16/12)*Assumptions!$M$45</f>
        <v>2500</v>
      </c>
      <c r="AK169" s="221">
        <f>(Assumptions!$N16/12)+(Assumptions!$N16/12)*Assumptions!$M$45</f>
        <v>2500</v>
      </c>
      <c r="AL169" s="221">
        <f>(Assumptions!$N16/12)+(Assumptions!$N16/12)*Assumptions!$M$45</f>
        <v>2500</v>
      </c>
      <c r="AM169" s="221">
        <f>(Assumptions!$N16/12)+(Assumptions!$N16/12)*Assumptions!$M$45</f>
        <v>2500</v>
      </c>
      <c r="AN169" s="221">
        <f>(Assumptions!$N16/12)+(Assumptions!$N16/12)*Assumptions!$M$45</f>
        <v>2500</v>
      </c>
      <c r="AO169" s="221">
        <f>(Assumptions!$N16/12)+(Assumptions!$N16/12)*Assumptions!$M$45</f>
        <v>2500</v>
      </c>
      <c r="AP169" s="221">
        <f>(Assumptions!$N16/12)+(Assumptions!$N16/12)*Assumptions!$M$45</f>
        <v>2500</v>
      </c>
      <c r="AQ169" s="221">
        <f>(Assumptions!$N16/12)+(Assumptions!$N16/12)*Assumptions!$M$45</f>
        <v>2500</v>
      </c>
      <c r="AR169" s="221">
        <f>(Assumptions!$N16/12)+(Assumptions!$N16/12)*Assumptions!$N$45</f>
        <v>4000</v>
      </c>
      <c r="AS169" s="221">
        <f>(Assumptions!$N16/12)+(Assumptions!$N16/12)*Assumptions!$N$45</f>
        <v>4000</v>
      </c>
      <c r="AT169" s="221">
        <f>(Assumptions!$N16/12)+(Assumptions!$N16/12)*Assumptions!$N$45</f>
        <v>4000</v>
      </c>
      <c r="AU169" s="221">
        <f>(Assumptions!$N16/12)+(Assumptions!$N16/12)*Assumptions!$N$45</f>
        <v>4000</v>
      </c>
      <c r="AV169" s="221">
        <f>(Assumptions!$N16/12)+(Assumptions!$N16/12)*Assumptions!$N$45</f>
        <v>4000</v>
      </c>
      <c r="AW169" s="221">
        <f>(Assumptions!$N16/12)+(Assumptions!$N16/12)*Assumptions!$N$45</f>
        <v>4000</v>
      </c>
      <c r="AX169" s="221">
        <f>(Assumptions!$N16/12)+(Assumptions!$N16/12)*Assumptions!$N$45</f>
        <v>4000</v>
      </c>
      <c r="AY169" s="221">
        <f>(Assumptions!$N16/12)+(Assumptions!$N16/12)*Assumptions!$N$45</f>
        <v>4000</v>
      </c>
      <c r="AZ169" s="221">
        <f>(Assumptions!$N16/12)+(Assumptions!$N16/12)*Assumptions!$N$45</f>
        <v>4000</v>
      </c>
      <c r="BA169" s="221">
        <f>(Assumptions!$N16/12)+(Assumptions!$N16/12)*Assumptions!$N$45</f>
        <v>4000</v>
      </c>
      <c r="BB169" s="221">
        <f>(Assumptions!$N16/12)+(Assumptions!$N16/12)*Assumptions!$N$45</f>
        <v>4000</v>
      </c>
      <c r="BC169" s="221">
        <f>(Assumptions!$N16/12)+(Assumptions!$N16/12)*Assumptions!$N$45</f>
        <v>4000</v>
      </c>
      <c r="BD169" s="221">
        <f>(Assumptions!$N16/12)+(Assumptions!$N16/12)*Assumptions!$O$45</f>
        <v>5750</v>
      </c>
      <c r="BE169" s="221">
        <f>(Assumptions!$N16/12)+(Assumptions!$N16/12)*Assumptions!$O$45</f>
        <v>5750</v>
      </c>
      <c r="BF169" s="221">
        <f>(Assumptions!$N16/12)+(Assumptions!$N16/12)*Assumptions!$O$45</f>
        <v>5750</v>
      </c>
      <c r="BG169" s="221">
        <f>(Assumptions!$N16/12)+(Assumptions!$N16/12)*Assumptions!$O$45</f>
        <v>5750</v>
      </c>
      <c r="BH169" s="221">
        <f>(Assumptions!$N16/12)+(Assumptions!$N16/12)*Assumptions!$O$45</f>
        <v>5750</v>
      </c>
      <c r="BI169" s="221">
        <f>(Assumptions!$N16/12)+(Assumptions!$N16/12)*Assumptions!$O$45</f>
        <v>5750</v>
      </c>
      <c r="BJ169" s="221">
        <f>(Assumptions!$N16/12)+(Assumptions!$N16/12)*Assumptions!$O$45</f>
        <v>5750</v>
      </c>
      <c r="BK169" s="221">
        <f>(Assumptions!$N16/12)+(Assumptions!$N16/12)*Assumptions!$O$45</f>
        <v>5750</v>
      </c>
      <c r="BL169" s="221">
        <f>(Assumptions!$N16/12)+(Assumptions!$N16/12)*Assumptions!$O$45</f>
        <v>5750</v>
      </c>
      <c r="BM169" s="221">
        <f>(Assumptions!$N16/12)+(Assumptions!$N16/12)*Assumptions!$O$45</f>
        <v>5750</v>
      </c>
      <c r="BN169" s="221">
        <f>(Assumptions!$N16/12)+(Assumptions!$N16/12)*Assumptions!$O$45</f>
        <v>5750</v>
      </c>
      <c r="BO169" s="221">
        <f>(Assumptions!$N16/12)+(Assumptions!$N16/12)*Assumptions!$O$45</f>
        <v>5750</v>
      </c>
    </row>
    <row r="170" spans="1:67" x14ac:dyDescent="0.25">
      <c r="A170" s="220" t="str">
        <f>Assumptions!$J$17</f>
        <v>CISO</v>
      </c>
      <c r="B170" s="202" t="b">
        <f>(H170*12)=Assumptions!N17</f>
        <v>1</v>
      </c>
      <c r="H170" s="221">
        <f>(Assumptions!$N17/12)+(Assumptions!$N17/12)*Assumptions!$K$45</f>
        <v>250</v>
      </c>
      <c r="I170" s="221">
        <f>(Assumptions!$N17/12)+(Assumptions!$N17/12)*Assumptions!$K$45</f>
        <v>250</v>
      </c>
      <c r="J170" s="221">
        <f>(Assumptions!$N17/12)+(Assumptions!$N17/12)*Assumptions!$K$45</f>
        <v>250</v>
      </c>
      <c r="K170" s="221">
        <f>(Assumptions!$N17/12)+(Assumptions!$N17/12)*Assumptions!$K$45</f>
        <v>250</v>
      </c>
      <c r="L170" s="221">
        <f>(Assumptions!$N17/12)+(Assumptions!$N17/12)*Assumptions!$K$45</f>
        <v>250</v>
      </c>
      <c r="M170" s="221">
        <f>(Assumptions!$N17/12)+(Assumptions!$N17/12)*Assumptions!$K$45</f>
        <v>250</v>
      </c>
      <c r="N170" s="221">
        <f>(Assumptions!$N17/12)+(Assumptions!$N17/12)*Assumptions!$K$45</f>
        <v>250</v>
      </c>
      <c r="O170" s="221">
        <f>(Assumptions!$N17/12)+(Assumptions!$N17/12)*Assumptions!$K$45</f>
        <v>250</v>
      </c>
      <c r="P170" s="221">
        <f>(Assumptions!$N17/12)+(Assumptions!$N17/12)*Assumptions!$K$45</f>
        <v>250</v>
      </c>
      <c r="Q170" s="221">
        <f>(Assumptions!$N17/12)+(Assumptions!$N17/12)*Assumptions!$K$45</f>
        <v>250</v>
      </c>
      <c r="R170" s="221">
        <f>(Assumptions!$N17/12)+(Assumptions!$N17/12)*Assumptions!$K$45</f>
        <v>250</v>
      </c>
      <c r="S170" s="221">
        <f>(Assumptions!$N17/12)+(Assumptions!$N17/12)*Assumptions!$K$45</f>
        <v>250</v>
      </c>
      <c r="T170" s="221">
        <f>(Assumptions!$N17/12)+(Assumptions!$N17/12)*Assumptions!$L$45</f>
        <v>1250</v>
      </c>
      <c r="U170" s="221">
        <f>(Assumptions!$N17/12)+(Assumptions!$N17/12)*Assumptions!$L$45</f>
        <v>1250</v>
      </c>
      <c r="V170" s="221">
        <f>(Assumptions!$N17/12)+(Assumptions!$N17/12)*Assumptions!$L$45</f>
        <v>1250</v>
      </c>
      <c r="W170" s="221">
        <f>(Assumptions!$N17/12)+(Assumptions!$N17/12)*Assumptions!$L$45</f>
        <v>1250</v>
      </c>
      <c r="X170" s="221">
        <f>(Assumptions!$N17/12)+(Assumptions!$N17/12)*Assumptions!$L$45</f>
        <v>1250</v>
      </c>
      <c r="Y170" s="221">
        <f>(Assumptions!$N17/12)+(Assumptions!$N17/12)*Assumptions!$L$45</f>
        <v>1250</v>
      </c>
      <c r="Z170" s="221">
        <f>(Assumptions!$N17/12)+(Assumptions!$N17/12)*Assumptions!$L$45</f>
        <v>1250</v>
      </c>
      <c r="AA170" s="221">
        <f>(Assumptions!$N17/12)+(Assumptions!$N17/12)*Assumptions!$L$45</f>
        <v>1250</v>
      </c>
      <c r="AB170" s="221">
        <f>(Assumptions!$N17/12)+(Assumptions!$N17/12)*Assumptions!$L$45</f>
        <v>1250</v>
      </c>
      <c r="AC170" s="221">
        <f>(Assumptions!$N17/12)+(Assumptions!$N17/12)*Assumptions!$L$45</f>
        <v>1250</v>
      </c>
      <c r="AD170" s="221">
        <f>(Assumptions!$N17/12)+(Assumptions!$N17/12)*Assumptions!$L$45</f>
        <v>1250</v>
      </c>
      <c r="AE170" s="221">
        <f>(Assumptions!$N17/12)+(Assumptions!$N17/12)*Assumptions!$L$45</f>
        <v>1250</v>
      </c>
      <c r="AF170" s="221">
        <f>(Assumptions!$N17/12)+(Assumptions!$N17/12)*Assumptions!$M$45</f>
        <v>2500</v>
      </c>
      <c r="AG170" s="221">
        <f>(Assumptions!$N17/12)+(Assumptions!$N17/12)*Assumptions!$M$45</f>
        <v>2500</v>
      </c>
      <c r="AH170" s="221">
        <f>(Assumptions!$N17/12)+(Assumptions!$N17/12)*Assumptions!$M$45</f>
        <v>2500</v>
      </c>
      <c r="AI170" s="221">
        <f>(Assumptions!$N17/12)+(Assumptions!$N17/12)*Assumptions!$M$45</f>
        <v>2500</v>
      </c>
      <c r="AJ170" s="221">
        <f>(Assumptions!$N17/12)+(Assumptions!$N17/12)*Assumptions!$M$45</f>
        <v>2500</v>
      </c>
      <c r="AK170" s="221">
        <f>(Assumptions!$N17/12)+(Assumptions!$N17/12)*Assumptions!$M$45</f>
        <v>2500</v>
      </c>
      <c r="AL170" s="221">
        <f>(Assumptions!$N17/12)+(Assumptions!$N17/12)*Assumptions!$M$45</f>
        <v>2500</v>
      </c>
      <c r="AM170" s="221">
        <f>(Assumptions!$N17/12)+(Assumptions!$N17/12)*Assumptions!$M$45</f>
        <v>2500</v>
      </c>
      <c r="AN170" s="221">
        <f>(Assumptions!$N17/12)+(Assumptions!$N17/12)*Assumptions!$M$45</f>
        <v>2500</v>
      </c>
      <c r="AO170" s="221">
        <f>(Assumptions!$N17/12)+(Assumptions!$N17/12)*Assumptions!$M$45</f>
        <v>2500</v>
      </c>
      <c r="AP170" s="221">
        <f>(Assumptions!$N17/12)+(Assumptions!$N17/12)*Assumptions!$M$45</f>
        <v>2500</v>
      </c>
      <c r="AQ170" s="221">
        <f>(Assumptions!$N17/12)+(Assumptions!$N17/12)*Assumptions!$M$45</f>
        <v>2500</v>
      </c>
      <c r="AR170" s="221">
        <f>(Assumptions!$N17/12)+(Assumptions!$N17/12)*Assumptions!$N$45</f>
        <v>4000</v>
      </c>
      <c r="AS170" s="221">
        <f>(Assumptions!$N17/12)+(Assumptions!$N17/12)*Assumptions!$N$45</f>
        <v>4000</v>
      </c>
      <c r="AT170" s="221">
        <f>(Assumptions!$N17/12)+(Assumptions!$N17/12)*Assumptions!$N$45</f>
        <v>4000</v>
      </c>
      <c r="AU170" s="221">
        <f>(Assumptions!$N17/12)+(Assumptions!$N17/12)*Assumptions!$N$45</f>
        <v>4000</v>
      </c>
      <c r="AV170" s="221">
        <f>(Assumptions!$N17/12)+(Assumptions!$N17/12)*Assumptions!$N$45</f>
        <v>4000</v>
      </c>
      <c r="AW170" s="221">
        <f>(Assumptions!$N17/12)+(Assumptions!$N17/12)*Assumptions!$N$45</f>
        <v>4000</v>
      </c>
      <c r="AX170" s="221">
        <f>(Assumptions!$N17/12)+(Assumptions!$N17/12)*Assumptions!$N$45</f>
        <v>4000</v>
      </c>
      <c r="AY170" s="221">
        <f>(Assumptions!$N17/12)+(Assumptions!$N17/12)*Assumptions!$N$45</f>
        <v>4000</v>
      </c>
      <c r="AZ170" s="221">
        <f>(Assumptions!$N17/12)+(Assumptions!$N17/12)*Assumptions!$N$45</f>
        <v>4000</v>
      </c>
      <c r="BA170" s="221">
        <f>(Assumptions!$N17/12)+(Assumptions!$N17/12)*Assumptions!$N$45</f>
        <v>4000</v>
      </c>
      <c r="BB170" s="221">
        <f>(Assumptions!$N17/12)+(Assumptions!$N17/12)*Assumptions!$N$45</f>
        <v>4000</v>
      </c>
      <c r="BC170" s="221">
        <f>(Assumptions!$N17/12)+(Assumptions!$N17/12)*Assumptions!$N$45</f>
        <v>4000</v>
      </c>
      <c r="BD170" s="221">
        <f>(Assumptions!$N17/12)+(Assumptions!$N17/12)*Assumptions!$O$45</f>
        <v>5750</v>
      </c>
      <c r="BE170" s="221">
        <f>(Assumptions!$N17/12)+(Assumptions!$N17/12)*Assumptions!$O$45</f>
        <v>5750</v>
      </c>
      <c r="BF170" s="221">
        <f>(Assumptions!$N17/12)+(Assumptions!$N17/12)*Assumptions!$O$45</f>
        <v>5750</v>
      </c>
      <c r="BG170" s="221">
        <f>(Assumptions!$N17/12)+(Assumptions!$N17/12)*Assumptions!$O$45</f>
        <v>5750</v>
      </c>
      <c r="BH170" s="221">
        <f>(Assumptions!$N17/12)+(Assumptions!$N17/12)*Assumptions!$O$45</f>
        <v>5750</v>
      </c>
      <c r="BI170" s="221">
        <f>(Assumptions!$N17/12)+(Assumptions!$N17/12)*Assumptions!$O$45</f>
        <v>5750</v>
      </c>
      <c r="BJ170" s="221">
        <f>(Assumptions!$N17/12)+(Assumptions!$N17/12)*Assumptions!$O$45</f>
        <v>5750</v>
      </c>
      <c r="BK170" s="221">
        <f>(Assumptions!$N17/12)+(Assumptions!$N17/12)*Assumptions!$O$45</f>
        <v>5750</v>
      </c>
      <c r="BL170" s="221">
        <f>(Assumptions!$N17/12)+(Assumptions!$N17/12)*Assumptions!$O$45</f>
        <v>5750</v>
      </c>
      <c r="BM170" s="221">
        <f>(Assumptions!$N17/12)+(Assumptions!$N17/12)*Assumptions!$O$45</f>
        <v>5750</v>
      </c>
      <c r="BN170" s="221">
        <f>(Assumptions!$N17/12)+(Assumptions!$N17/12)*Assumptions!$O$45</f>
        <v>5750</v>
      </c>
      <c r="BO170" s="221">
        <f>(Assumptions!$N17/12)+(Assumptions!$N17/12)*Assumptions!$O$45</f>
        <v>5750</v>
      </c>
    </row>
    <row r="171" spans="1:67" x14ac:dyDescent="0.25">
      <c r="A171" s="220" t="str">
        <f>Assumptions!$J$18</f>
        <v>InfoSec Consultant</v>
      </c>
      <c r="B171" s="202" t="b">
        <f>(H171*12)=Assumptions!N18</f>
        <v>1</v>
      </c>
      <c r="H171" s="221">
        <f>(Assumptions!$N18/12)+(Assumptions!$N18/12)*Assumptions!$K$45</f>
        <v>250</v>
      </c>
      <c r="I171" s="221">
        <f>(Assumptions!$N18/12)+(Assumptions!$N18/12)*Assumptions!$K$45</f>
        <v>250</v>
      </c>
      <c r="J171" s="221">
        <f>(Assumptions!$N18/12)+(Assumptions!$N18/12)*Assumptions!$K$45</f>
        <v>250</v>
      </c>
      <c r="K171" s="221">
        <f>(Assumptions!$N18/12)+(Assumptions!$N18/12)*Assumptions!$K$45</f>
        <v>250</v>
      </c>
      <c r="L171" s="221">
        <f>(Assumptions!$N18/12)+(Assumptions!$N18/12)*Assumptions!$K$45</f>
        <v>250</v>
      </c>
      <c r="M171" s="221">
        <f>(Assumptions!$N18/12)+(Assumptions!$N18/12)*Assumptions!$K$45</f>
        <v>250</v>
      </c>
      <c r="N171" s="221">
        <f>(Assumptions!$N18/12)+(Assumptions!$N18/12)*Assumptions!$K$45</f>
        <v>250</v>
      </c>
      <c r="O171" s="221">
        <f>(Assumptions!$N18/12)+(Assumptions!$N18/12)*Assumptions!$K$45</f>
        <v>250</v>
      </c>
      <c r="P171" s="221">
        <f>(Assumptions!$N18/12)+(Assumptions!$N18/12)*Assumptions!$K$45</f>
        <v>250</v>
      </c>
      <c r="Q171" s="221">
        <f>(Assumptions!$N18/12)+(Assumptions!$N18/12)*Assumptions!$K$45</f>
        <v>250</v>
      </c>
      <c r="R171" s="221">
        <f>(Assumptions!$N18/12)+(Assumptions!$N18/12)*Assumptions!$K$45</f>
        <v>250</v>
      </c>
      <c r="S171" s="221">
        <f>(Assumptions!$N18/12)+(Assumptions!$N18/12)*Assumptions!$K$45</f>
        <v>250</v>
      </c>
      <c r="T171" s="221">
        <f>(Assumptions!$N18/12)+(Assumptions!$N18/12)*Assumptions!$L$45</f>
        <v>1250</v>
      </c>
      <c r="U171" s="221">
        <f>(Assumptions!$N18/12)+(Assumptions!$N18/12)*Assumptions!$L$45</f>
        <v>1250</v>
      </c>
      <c r="V171" s="221">
        <f>(Assumptions!$N18/12)+(Assumptions!$N18/12)*Assumptions!$L$45</f>
        <v>1250</v>
      </c>
      <c r="W171" s="221">
        <f>(Assumptions!$N18/12)+(Assumptions!$N18/12)*Assumptions!$L$45</f>
        <v>1250</v>
      </c>
      <c r="X171" s="221">
        <f>(Assumptions!$N18/12)+(Assumptions!$N18/12)*Assumptions!$L$45</f>
        <v>1250</v>
      </c>
      <c r="Y171" s="221">
        <f>(Assumptions!$N18/12)+(Assumptions!$N18/12)*Assumptions!$L$45</f>
        <v>1250</v>
      </c>
      <c r="Z171" s="221">
        <f>(Assumptions!$N18/12)+(Assumptions!$N18/12)*Assumptions!$L$45</f>
        <v>1250</v>
      </c>
      <c r="AA171" s="221">
        <f>(Assumptions!$N18/12)+(Assumptions!$N18/12)*Assumptions!$L$45</f>
        <v>1250</v>
      </c>
      <c r="AB171" s="221">
        <f>(Assumptions!$N18/12)+(Assumptions!$N18/12)*Assumptions!$L$45</f>
        <v>1250</v>
      </c>
      <c r="AC171" s="221">
        <f>(Assumptions!$N18/12)+(Assumptions!$N18/12)*Assumptions!$L$45</f>
        <v>1250</v>
      </c>
      <c r="AD171" s="221">
        <f>(Assumptions!$N18/12)+(Assumptions!$N18/12)*Assumptions!$L$45</f>
        <v>1250</v>
      </c>
      <c r="AE171" s="221">
        <f>(Assumptions!$N18/12)+(Assumptions!$N18/12)*Assumptions!$L$45</f>
        <v>1250</v>
      </c>
      <c r="AF171" s="221">
        <f>(Assumptions!$N18/12)+(Assumptions!$N18/12)*Assumptions!$M$45</f>
        <v>2500</v>
      </c>
      <c r="AG171" s="221">
        <f>(Assumptions!$N18/12)+(Assumptions!$N18/12)*Assumptions!$M$45</f>
        <v>2500</v>
      </c>
      <c r="AH171" s="221">
        <f>(Assumptions!$N18/12)+(Assumptions!$N18/12)*Assumptions!$M$45</f>
        <v>2500</v>
      </c>
      <c r="AI171" s="221">
        <f>(Assumptions!$N18/12)+(Assumptions!$N18/12)*Assumptions!$M$45</f>
        <v>2500</v>
      </c>
      <c r="AJ171" s="221">
        <f>(Assumptions!$N18/12)+(Assumptions!$N18/12)*Assumptions!$M$45</f>
        <v>2500</v>
      </c>
      <c r="AK171" s="221">
        <f>(Assumptions!$N18/12)+(Assumptions!$N18/12)*Assumptions!$M$45</f>
        <v>2500</v>
      </c>
      <c r="AL171" s="221">
        <f>(Assumptions!$N18/12)+(Assumptions!$N18/12)*Assumptions!$M$45</f>
        <v>2500</v>
      </c>
      <c r="AM171" s="221">
        <f>(Assumptions!$N18/12)+(Assumptions!$N18/12)*Assumptions!$M$45</f>
        <v>2500</v>
      </c>
      <c r="AN171" s="221">
        <f>(Assumptions!$N18/12)+(Assumptions!$N18/12)*Assumptions!$M$45</f>
        <v>2500</v>
      </c>
      <c r="AO171" s="221">
        <f>(Assumptions!$N18/12)+(Assumptions!$N18/12)*Assumptions!$M$45</f>
        <v>2500</v>
      </c>
      <c r="AP171" s="221">
        <f>(Assumptions!$N18/12)+(Assumptions!$N18/12)*Assumptions!$M$45</f>
        <v>2500</v>
      </c>
      <c r="AQ171" s="221">
        <f>(Assumptions!$N18/12)+(Assumptions!$N18/12)*Assumptions!$M$45</f>
        <v>2500</v>
      </c>
      <c r="AR171" s="221">
        <f>(Assumptions!$N18/12)+(Assumptions!$N18/12)*Assumptions!$N$45</f>
        <v>4000</v>
      </c>
      <c r="AS171" s="221">
        <f>(Assumptions!$N18/12)+(Assumptions!$N18/12)*Assumptions!$N$45</f>
        <v>4000</v>
      </c>
      <c r="AT171" s="221">
        <f>(Assumptions!$N18/12)+(Assumptions!$N18/12)*Assumptions!$N$45</f>
        <v>4000</v>
      </c>
      <c r="AU171" s="221">
        <f>(Assumptions!$N18/12)+(Assumptions!$N18/12)*Assumptions!$N$45</f>
        <v>4000</v>
      </c>
      <c r="AV171" s="221">
        <f>(Assumptions!$N18/12)+(Assumptions!$N18/12)*Assumptions!$N$45</f>
        <v>4000</v>
      </c>
      <c r="AW171" s="221">
        <f>(Assumptions!$N18/12)+(Assumptions!$N18/12)*Assumptions!$N$45</f>
        <v>4000</v>
      </c>
      <c r="AX171" s="221">
        <f>(Assumptions!$N18/12)+(Assumptions!$N18/12)*Assumptions!$N$45</f>
        <v>4000</v>
      </c>
      <c r="AY171" s="221">
        <f>(Assumptions!$N18/12)+(Assumptions!$N18/12)*Assumptions!$N$45</f>
        <v>4000</v>
      </c>
      <c r="AZ171" s="221">
        <f>(Assumptions!$N18/12)+(Assumptions!$N18/12)*Assumptions!$N$45</f>
        <v>4000</v>
      </c>
      <c r="BA171" s="221">
        <f>(Assumptions!$N18/12)+(Assumptions!$N18/12)*Assumptions!$N$45</f>
        <v>4000</v>
      </c>
      <c r="BB171" s="221">
        <f>(Assumptions!$N18/12)+(Assumptions!$N18/12)*Assumptions!$N$45</f>
        <v>4000</v>
      </c>
      <c r="BC171" s="221">
        <f>(Assumptions!$N18/12)+(Assumptions!$N18/12)*Assumptions!$N$45</f>
        <v>4000</v>
      </c>
      <c r="BD171" s="221">
        <f>(Assumptions!$N18/12)+(Assumptions!$N18/12)*Assumptions!$O$45</f>
        <v>5750</v>
      </c>
      <c r="BE171" s="221">
        <f>(Assumptions!$N18/12)+(Assumptions!$N18/12)*Assumptions!$O$45</f>
        <v>5750</v>
      </c>
      <c r="BF171" s="221">
        <f>(Assumptions!$N18/12)+(Assumptions!$N18/12)*Assumptions!$O$45</f>
        <v>5750</v>
      </c>
      <c r="BG171" s="221">
        <f>(Assumptions!$N18/12)+(Assumptions!$N18/12)*Assumptions!$O$45</f>
        <v>5750</v>
      </c>
      <c r="BH171" s="221">
        <f>(Assumptions!$N18/12)+(Assumptions!$N18/12)*Assumptions!$O$45</f>
        <v>5750</v>
      </c>
      <c r="BI171" s="221">
        <f>(Assumptions!$N18/12)+(Assumptions!$N18/12)*Assumptions!$O$45</f>
        <v>5750</v>
      </c>
      <c r="BJ171" s="221">
        <f>(Assumptions!$N18/12)+(Assumptions!$N18/12)*Assumptions!$O$45</f>
        <v>5750</v>
      </c>
      <c r="BK171" s="221">
        <f>(Assumptions!$N18/12)+(Assumptions!$N18/12)*Assumptions!$O$45</f>
        <v>5750</v>
      </c>
      <c r="BL171" s="221">
        <f>(Assumptions!$N18/12)+(Assumptions!$N18/12)*Assumptions!$O$45</f>
        <v>5750</v>
      </c>
      <c r="BM171" s="221">
        <f>(Assumptions!$N18/12)+(Assumptions!$N18/12)*Assumptions!$O$45</f>
        <v>5750</v>
      </c>
      <c r="BN171" s="221">
        <f>(Assumptions!$N18/12)+(Assumptions!$N18/12)*Assumptions!$O$45</f>
        <v>5750</v>
      </c>
      <c r="BO171" s="221">
        <f>(Assumptions!$N18/12)+(Assumptions!$N18/12)*Assumptions!$O$45</f>
        <v>5750</v>
      </c>
    </row>
    <row r="172" spans="1:67" x14ac:dyDescent="0.25">
      <c r="A172" s="220" t="str">
        <f>Assumptions!$J$19</f>
        <v>Laravel Developer</v>
      </c>
      <c r="B172" s="202" t="b">
        <f>(H172*12)=Assumptions!N19</f>
        <v>1</v>
      </c>
      <c r="H172" s="221">
        <f>(Assumptions!$N19/12)+(Assumptions!$N19/12)*Assumptions!$K$45</f>
        <v>250</v>
      </c>
      <c r="I172" s="221">
        <f>(Assumptions!$N19/12)+(Assumptions!$N19/12)*Assumptions!$K$45</f>
        <v>250</v>
      </c>
      <c r="J172" s="221">
        <f>(Assumptions!$N19/12)+(Assumptions!$N19/12)*Assumptions!$K$45</f>
        <v>250</v>
      </c>
      <c r="K172" s="221">
        <f>(Assumptions!$N19/12)+(Assumptions!$N19/12)*Assumptions!$K$45</f>
        <v>250</v>
      </c>
      <c r="L172" s="221">
        <f>(Assumptions!$N19/12)+(Assumptions!$N19/12)*Assumptions!$K$45</f>
        <v>250</v>
      </c>
      <c r="M172" s="221">
        <f>(Assumptions!$N19/12)+(Assumptions!$N19/12)*Assumptions!$K$45</f>
        <v>250</v>
      </c>
      <c r="N172" s="221">
        <f>(Assumptions!$N19/12)+(Assumptions!$N19/12)*Assumptions!$K$45</f>
        <v>250</v>
      </c>
      <c r="O172" s="221">
        <f>(Assumptions!$N19/12)+(Assumptions!$N19/12)*Assumptions!$K$45</f>
        <v>250</v>
      </c>
      <c r="P172" s="221">
        <f>(Assumptions!$N19/12)+(Assumptions!$N19/12)*Assumptions!$K$45</f>
        <v>250</v>
      </c>
      <c r="Q172" s="221">
        <f>(Assumptions!$N19/12)+(Assumptions!$N19/12)*Assumptions!$K$45</f>
        <v>250</v>
      </c>
      <c r="R172" s="221">
        <f>(Assumptions!$N19/12)+(Assumptions!$N19/12)*Assumptions!$K$45</f>
        <v>250</v>
      </c>
      <c r="S172" s="221">
        <f>(Assumptions!$N19/12)+(Assumptions!$N19/12)*Assumptions!$K$45</f>
        <v>250</v>
      </c>
      <c r="T172" s="221">
        <f>(Assumptions!$N19/12)+(Assumptions!$N19/12)*Assumptions!$L$45</f>
        <v>1250</v>
      </c>
      <c r="U172" s="221">
        <f>(Assumptions!$N19/12)+(Assumptions!$N19/12)*Assumptions!$L$45</f>
        <v>1250</v>
      </c>
      <c r="V172" s="221">
        <f>(Assumptions!$N19/12)+(Assumptions!$N19/12)*Assumptions!$L$45</f>
        <v>1250</v>
      </c>
      <c r="W172" s="221">
        <f>(Assumptions!$N19/12)+(Assumptions!$N19/12)*Assumptions!$L$45</f>
        <v>1250</v>
      </c>
      <c r="X172" s="221">
        <f>(Assumptions!$N19/12)+(Assumptions!$N19/12)*Assumptions!$L$45</f>
        <v>1250</v>
      </c>
      <c r="Y172" s="221">
        <f>(Assumptions!$N19/12)+(Assumptions!$N19/12)*Assumptions!$L$45</f>
        <v>1250</v>
      </c>
      <c r="Z172" s="221">
        <f>(Assumptions!$N19/12)+(Assumptions!$N19/12)*Assumptions!$L$45</f>
        <v>1250</v>
      </c>
      <c r="AA172" s="221">
        <f>(Assumptions!$N19/12)+(Assumptions!$N19/12)*Assumptions!$L$45</f>
        <v>1250</v>
      </c>
      <c r="AB172" s="221">
        <f>(Assumptions!$N19/12)+(Assumptions!$N19/12)*Assumptions!$L$45</f>
        <v>1250</v>
      </c>
      <c r="AC172" s="221">
        <f>(Assumptions!$N19/12)+(Assumptions!$N19/12)*Assumptions!$L$45</f>
        <v>1250</v>
      </c>
      <c r="AD172" s="221">
        <f>(Assumptions!$N19/12)+(Assumptions!$N19/12)*Assumptions!$L$45</f>
        <v>1250</v>
      </c>
      <c r="AE172" s="221">
        <f>(Assumptions!$N19/12)+(Assumptions!$N19/12)*Assumptions!$L$45</f>
        <v>1250</v>
      </c>
      <c r="AF172" s="221">
        <f>(Assumptions!$N19/12)+(Assumptions!$N19/12)*Assumptions!$M$45</f>
        <v>2500</v>
      </c>
      <c r="AG172" s="221">
        <f>(Assumptions!$N19/12)+(Assumptions!$N19/12)*Assumptions!$M$45</f>
        <v>2500</v>
      </c>
      <c r="AH172" s="221">
        <f>(Assumptions!$N19/12)+(Assumptions!$N19/12)*Assumptions!$M$45</f>
        <v>2500</v>
      </c>
      <c r="AI172" s="221">
        <f>(Assumptions!$N19/12)+(Assumptions!$N19/12)*Assumptions!$M$45</f>
        <v>2500</v>
      </c>
      <c r="AJ172" s="221">
        <f>(Assumptions!$N19/12)+(Assumptions!$N19/12)*Assumptions!$M$45</f>
        <v>2500</v>
      </c>
      <c r="AK172" s="221">
        <f>(Assumptions!$N19/12)+(Assumptions!$N19/12)*Assumptions!$M$45</f>
        <v>2500</v>
      </c>
      <c r="AL172" s="221">
        <f>(Assumptions!$N19/12)+(Assumptions!$N19/12)*Assumptions!$M$45</f>
        <v>2500</v>
      </c>
      <c r="AM172" s="221">
        <f>(Assumptions!$N19/12)+(Assumptions!$N19/12)*Assumptions!$M$45</f>
        <v>2500</v>
      </c>
      <c r="AN172" s="221">
        <f>(Assumptions!$N19/12)+(Assumptions!$N19/12)*Assumptions!$M$45</f>
        <v>2500</v>
      </c>
      <c r="AO172" s="221">
        <f>(Assumptions!$N19/12)+(Assumptions!$N19/12)*Assumptions!$M$45</f>
        <v>2500</v>
      </c>
      <c r="AP172" s="221">
        <f>(Assumptions!$N19/12)+(Assumptions!$N19/12)*Assumptions!$M$45</f>
        <v>2500</v>
      </c>
      <c r="AQ172" s="221">
        <f>(Assumptions!$N19/12)+(Assumptions!$N19/12)*Assumptions!$M$45</f>
        <v>2500</v>
      </c>
      <c r="AR172" s="221">
        <f>(Assumptions!$N19/12)+(Assumptions!$N19/12)*Assumptions!$N$45</f>
        <v>4000</v>
      </c>
      <c r="AS172" s="221">
        <f>(Assumptions!$N19/12)+(Assumptions!$N19/12)*Assumptions!$N$45</f>
        <v>4000</v>
      </c>
      <c r="AT172" s="221">
        <f>(Assumptions!$N19/12)+(Assumptions!$N19/12)*Assumptions!$N$45</f>
        <v>4000</v>
      </c>
      <c r="AU172" s="221">
        <f>(Assumptions!$N19/12)+(Assumptions!$N19/12)*Assumptions!$N$45</f>
        <v>4000</v>
      </c>
      <c r="AV172" s="221">
        <f>(Assumptions!$N19/12)+(Assumptions!$N19/12)*Assumptions!$N$45</f>
        <v>4000</v>
      </c>
      <c r="AW172" s="221">
        <f>(Assumptions!$N19/12)+(Assumptions!$N19/12)*Assumptions!$N$45</f>
        <v>4000</v>
      </c>
      <c r="AX172" s="221">
        <f>(Assumptions!$N19/12)+(Assumptions!$N19/12)*Assumptions!$N$45</f>
        <v>4000</v>
      </c>
      <c r="AY172" s="221">
        <f>(Assumptions!$N19/12)+(Assumptions!$N19/12)*Assumptions!$N$45</f>
        <v>4000</v>
      </c>
      <c r="AZ172" s="221">
        <f>(Assumptions!$N19/12)+(Assumptions!$N19/12)*Assumptions!$N$45</f>
        <v>4000</v>
      </c>
      <c r="BA172" s="221">
        <f>(Assumptions!$N19/12)+(Assumptions!$N19/12)*Assumptions!$N$45</f>
        <v>4000</v>
      </c>
      <c r="BB172" s="221">
        <f>(Assumptions!$N19/12)+(Assumptions!$N19/12)*Assumptions!$N$45</f>
        <v>4000</v>
      </c>
      <c r="BC172" s="221">
        <f>(Assumptions!$N19/12)+(Assumptions!$N19/12)*Assumptions!$N$45</f>
        <v>4000</v>
      </c>
      <c r="BD172" s="221">
        <f>(Assumptions!$N19/12)+(Assumptions!$N19/12)*Assumptions!$O$45</f>
        <v>5750</v>
      </c>
      <c r="BE172" s="221">
        <f>(Assumptions!$N19/12)+(Assumptions!$N19/12)*Assumptions!$O$45</f>
        <v>5750</v>
      </c>
      <c r="BF172" s="221">
        <f>(Assumptions!$N19/12)+(Assumptions!$N19/12)*Assumptions!$O$45</f>
        <v>5750</v>
      </c>
      <c r="BG172" s="221">
        <f>(Assumptions!$N19/12)+(Assumptions!$N19/12)*Assumptions!$O$45</f>
        <v>5750</v>
      </c>
      <c r="BH172" s="221">
        <f>(Assumptions!$N19/12)+(Assumptions!$N19/12)*Assumptions!$O$45</f>
        <v>5750</v>
      </c>
      <c r="BI172" s="221">
        <f>(Assumptions!$N19/12)+(Assumptions!$N19/12)*Assumptions!$O$45</f>
        <v>5750</v>
      </c>
      <c r="BJ172" s="221">
        <f>(Assumptions!$N19/12)+(Assumptions!$N19/12)*Assumptions!$O$45</f>
        <v>5750</v>
      </c>
      <c r="BK172" s="221">
        <f>(Assumptions!$N19/12)+(Assumptions!$N19/12)*Assumptions!$O$45</f>
        <v>5750</v>
      </c>
      <c r="BL172" s="221">
        <f>(Assumptions!$N19/12)+(Assumptions!$N19/12)*Assumptions!$O$45</f>
        <v>5750</v>
      </c>
      <c r="BM172" s="221">
        <f>(Assumptions!$N19/12)+(Assumptions!$N19/12)*Assumptions!$O$45</f>
        <v>5750</v>
      </c>
      <c r="BN172" s="221">
        <f>(Assumptions!$N19/12)+(Assumptions!$N19/12)*Assumptions!$O$45</f>
        <v>5750</v>
      </c>
      <c r="BO172" s="221">
        <f>(Assumptions!$N19/12)+(Assumptions!$N19/12)*Assumptions!$O$45</f>
        <v>5750</v>
      </c>
    </row>
    <row r="173" spans="1:67" s="25" customFormat="1" x14ac:dyDescent="0.25">
      <c r="A173" s="25" t="s">
        <v>243</v>
      </c>
      <c r="B173" s="202">
        <f>MAX(D173:AQ173)</f>
        <v>10000</v>
      </c>
      <c r="D173" s="25">
        <f>SUM(D168:D172)</f>
        <v>0</v>
      </c>
      <c r="E173" s="25">
        <f t="shared" ref="E173:BO173" si="42">SUM(E168:E172)</f>
        <v>0</v>
      </c>
      <c r="F173" s="25">
        <f t="shared" si="42"/>
        <v>0</v>
      </c>
      <c r="G173" s="25">
        <f t="shared" si="42"/>
        <v>0</v>
      </c>
      <c r="H173" s="25">
        <f t="shared" si="42"/>
        <v>1000</v>
      </c>
      <c r="I173" s="25">
        <f t="shared" si="42"/>
        <v>1000</v>
      </c>
      <c r="J173" s="25">
        <f t="shared" si="42"/>
        <v>1000</v>
      </c>
      <c r="K173" s="25">
        <f t="shared" si="42"/>
        <v>1000</v>
      </c>
      <c r="L173" s="25">
        <f t="shared" si="42"/>
        <v>1000</v>
      </c>
      <c r="M173" s="25">
        <f t="shared" si="42"/>
        <v>1000</v>
      </c>
      <c r="N173" s="25">
        <f t="shared" si="42"/>
        <v>1000</v>
      </c>
      <c r="O173" s="25">
        <f t="shared" si="42"/>
        <v>1000</v>
      </c>
      <c r="P173" s="25">
        <f t="shared" si="42"/>
        <v>1000</v>
      </c>
      <c r="Q173" s="25">
        <f t="shared" si="42"/>
        <v>1000</v>
      </c>
      <c r="R173" s="25">
        <f t="shared" si="42"/>
        <v>1000</v>
      </c>
      <c r="S173" s="25">
        <f t="shared" si="42"/>
        <v>1000</v>
      </c>
      <c r="T173" s="25">
        <f t="shared" si="42"/>
        <v>5000</v>
      </c>
      <c r="U173" s="25">
        <f t="shared" si="42"/>
        <v>5000</v>
      </c>
      <c r="V173" s="25">
        <f t="shared" si="42"/>
        <v>5000</v>
      </c>
      <c r="W173" s="25">
        <f t="shared" si="42"/>
        <v>5000</v>
      </c>
      <c r="X173" s="25">
        <f t="shared" si="42"/>
        <v>5000</v>
      </c>
      <c r="Y173" s="25">
        <f t="shared" si="42"/>
        <v>5000</v>
      </c>
      <c r="Z173" s="25">
        <f t="shared" si="42"/>
        <v>5000</v>
      </c>
      <c r="AA173" s="25">
        <f t="shared" si="42"/>
        <v>5000</v>
      </c>
      <c r="AB173" s="25">
        <f t="shared" si="42"/>
        <v>5000</v>
      </c>
      <c r="AC173" s="25">
        <f t="shared" si="42"/>
        <v>5000</v>
      </c>
      <c r="AD173" s="25">
        <f t="shared" si="42"/>
        <v>5000</v>
      </c>
      <c r="AE173" s="25">
        <f t="shared" si="42"/>
        <v>5000</v>
      </c>
      <c r="AF173" s="25">
        <f t="shared" si="42"/>
        <v>10000</v>
      </c>
      <c r="AG173" s="25">
        <f t="shared" si="42"/>
        <v>10000</v>
      </c>
      <c r="AH173" s="25">
        <f t="shared" si="42"/>
        <v>10000</v>
      </c>
      <c r="AI173" s="25">
        <f t="shared" si="42"/>
        <v>10000</v>
      </c>
      <c r="AJ173" s="25">
        <f t="shared" si="42"/>
        <v>10000</v>
      </c>
      <c r="AK173" s="25">
        <f t="shared" si="42"/>
        <v>10000</v>
      </c>
      <c r="AL173" s="25">
        <f t="shared" si="42"/>
        <v>10000</v>
      </c>
      <c r="AM173" s="25">
        <f t="shared" si="42"/>
        <v>10000</v>
      </c>
      <c r="AN173" s="25">
        <f t="shared" si="42"/>
        <v>10000</v>
      </c>
      <c r="AO173" s="25">
        <f t="shared" si="42"/>
        <v>10000</v>
      </c>
      <c r="AP173" s="25">
        <f t="shared" si="42"/>
        <v>10000</v>
      </c>
      <c r="AQ173" s="25">
        <f t="shared" si="42"/>
        <v>10000</v>
      </c>
      <c r="AR173" s="25">
        <f t="shared" si="42"/>
        <v>16000</v>
      </c>
      <c r="AS173" s="25">
        <f t="shared" si="42"/>
        <v>16000</v>
      </c>
      <c r="AT173" s="25">
        <f t="shared" si="42"/>
        <v>16000</v>
      </c>
      <c r="AU173" s="25">
        <f t="shared" si="42"/>
        <v>16000</v>
      </c>
      <c r="AV173" s="25">
        <f t="shared" si="42"/>
        <v>16000</v>
      </c>
      <c r="AW173" s="25">
        <f t="shared" si="42"/>
        <v>16000</v>
      </c>
      <c r="AX173" s="25">
        <f t="shared" si="42"/>
        <v>16000</v>
      </c>
      <c r="AY173" s="25">
        <f t="shared" si="42"/>
        <v>16000</v>
      </c>
      <c r="AZ173" s="25">
        <f t="shared" si="42"/>
        <v>16000</v>
      </c>
      <c r="BA173" s="25">
        <f t="shared" si="42"/>
        <v>16000</v>
      </c>
      <c r="BB173" s="25">
        <f t="shared" si="42"/>
        <v>16000</v>
      </c>
      <c r="BC173" s="25">
        <f t="shared" si="42"/>
        <v>16000</v>
      </c>
      <c r="BD173" s="25">
        <f t="shared" si="42"/>
        <v>23000</v>
      </c>
      <c r="BE173" s="25">
        <f t="shared" si="42"/>
        <v>23000</v>
      </c>
      <c r="BF173" s="25">
        <f t="shared" si="42"/>
        <v>23000</v>
      </c>
      <c r="BG173" s="25">
        <f t="shared" si="42"/>
        <v>23000</v>
      </c>
      <c r="BH173" s="25">
        <f t="shared" si="42"/>
        <v>23000</v>
      </c>
      <c r="BI173" s="25">
        <f t="shared" si="42"/>
        <v>23000</v>
      </c>
      <c r="BJ173" s="25">
        <f t="shared" si="42"/>
        <v>23000</v>
      </c>
      <c r="BK173" s="25">
        <f t="shared" si="42"/>
        <v>23000</v>
      </c>
      <c r="BL173" s="25">
        <f t="shared" si="42"/>
        <v>23000</v>
      </c>
      <c r="BM173" s="25">
        <f t="shared" si="42"/>
        <v>23000</v>
      </c>
      <c r="BN173" s="25">
        <f t="shared" si="42"/>
        <v>23000</v>
      </c>
      <c r="BO173" s="25">
        <f t="shared" si="42"/>
        <v>23000</v>
      </c>
    </row>
    <row r="174" spans="1:67" x14ac:dyDescent="0.25">
      <c r="A174" s="213"/>
      <c r="B174" s="202"/>
    </row>
    <row r="175" spans="1:67" s="25" customFormat="1" x14ac:dyDescent="0.25">
      <c r="A175" s="25" t="s">
        <v>254</v>
      </c>
      <c r="B175" s="202">
        <f>SUM(D175:AQ175)</f>
        <v>645225</v>
      </c>
      <c r="D175" s="25">
        <f>SUM(D158,D166,D173)</f>
        <v>0</v>
      </c>
      <c r="E175" s="25">
        <f t="shared" ref="E175:BO175" si="43">SUM(E158,E166,E173)</f>
        <v>0</v>
      </c>
      <c r="F175" s="25">
        <f t="shared" si="43"/>
        <v>0</v>
      </c>
      <c r="G175" s="25">
        <f t="shared" si="43"/>
        <v>0</v>
      </c>
      <c r="H175" s="25">
        <f t="shared" si="43"/>
        <v>3000</v>
      </c>
      <c r="I175" s="25">
        <f t="shared" si="43"/>
        <v>3250</v>
      </c>
      <c r="J175" s="25">
        <f t="shared" si="43"/>
        <v>3500</v>
      </c>
      <c r="K175" s="25">
        <f t="shared" si="43"/>
        <v>4000</v>
      </c>
      <c r="L175" s="25">
        <f t="shared" si="43"/>
        <v>4250</v>
      </c>
      <c r="M175" s="25">
        <f t="shared" si="43"/>
        <v>4500</v>
      </c>
      <c r="N175" s="25">
        <f t="shared" si="43"/>
        <v>4750</v>
      </c>
      <c r="O175" s="25">
        <f t="shared" si="43"/>
        <v>5000</v>
      </c>
      <c r="P175" s="25">
        <f t="shared" si="43"/>
        <v>5750</v>
      </c>
      <c r="Q175" s="25">
        <f t="shared" si="43"/>
        <v>6000</v>
      </c>
      <c r="R175" s="25">
        <f t="shared" si="43"/>
        <v>6250</v>
      </c>
      <c r="S175" s="25">
        <f t="shared" si="43"/>
        <v>6500</v>
      </c>
      <c r="T175" s="25">
        <f t="shared" si="43"/>
        <v>14062.5</v>
      </c>
      <c r="U175" s="25">
        <f t="shared" si="43"/>
        <v>14687.5</v>
      </c>
      <c r="V175" s="25">
        <f t="shared" si="43"/>
        <v>15000</v>
      </c>
      <c r="W175" s="25">
        <f t="shared" si="43"/>
        <v>15312.5</v>
      </c>
      <c r="X175" s="25">
        <f t="shared" si="43"/>
        <v>15625</v>
      </c>
      <c r="Y175" s="25">
        <f t="shared" si="43"/>
        <v>15937.5</v>
      </c>
      <c r="Z175" s="25">
        <f t="shared" si="43"/>
        <v>16875</v>
      </c>
      <c r="AA175" s="25">
        <f t="shared" si="43"/>
        <v>17187.5</v>
      </c>
      <c r="AB175" s="25">
        <f t="shared" si="43"/>
        <v>17500</v>
      </c>
      <c r="AC175" s="25">
        <f t="shared" si="43"/>
        <v>17812.5</v>
      </c>
      <c r="AD175" s="25">
        <f t="shared" si="43"/>
        <v>18125</v>
      </c>
      <c r="AE175" s="25">
        <f t="shared" si="43"/>
        <v>18750</v>
      </c>
      <c r="AF175" s="25">
        <f t="shared" si="43"/>
        <v>29800</v>
      </c>
      <c r="AG175" s="25">
        <f t="shared" si="43"/>
        <v>30200</v>
      </c>
      <c r="AH175" s="25">
        <f t="shared" si="43"/>
        <v>30600</v>
      </c>
      <c r="AI175" s="25">
        <f t="shared" si="43"/>
        <v>31000</v>
      </c>
      <c r="AJ175" s="25">
        <f t="shared" si="43"/>
        <v>32200</v>
      </c>
      <c r="AK175" s="25">
        <f t="shared" si="43"/>
        <v>32600</v>
      </c>
      <c r="AL175" s="25">
        <f t="shared" si="43"/>
        <v>33000</v>
      </c>
      <c r="AM175" s="25">
        <f t="shared" si="43"/>
        <v>33400</v>
      </c>
      <c r="AN175" s="25">
        <f t="shared" si="43"/>
        <v>33800</v>
      </c>
      <c r="AO175" s="25">
        <f t="shared" si="43"/>
        <v>34600</v>
      </c>
      <c r="AP175" s="25">
        <f t="shared" si="43"/>
        <v>35000</v>
      </c>
      <c r="AQ175" s="25">
        <f t="shared" si="43"/>
        <v>35400</v>
      </c>
      <c r="AR175" s="25">
        <f t="shared" si="43"/>
        <v>53900</v>
      </c>
      <c r="AS175" s="25">
        <f t="shared" si="43"/>
        <v>54475</v>
      </c>
      <c r="AT175" s="25">
        <f t="shared" si="43"/>
        <v>56200</v>
      </c>
      <c r="AU175" s="25">
        <f t="shared" si="43"/>
        <v>56775</v>
      </c>
      <c r="AV175" s="25">
        <f t="shared" si="43"/>
        <v>57350</v>
      </c>
      <c r="AW175" s="25">
        <f t="shared" si="43"/>
        <v>57925</v>
      </c>
      <c r="AX175" s="25">
        <f t="shared" si="43"/>
        <v>58500</v>
      </c>
      <c r="AY175" s="25">
        <f t="shared" si="43"/>
        <v>59650</v>
      </c>
      <c r="AZ175" s="25">
        <f t="shared" si="43"/>
        <v>60225</v>
      </c>
      <c r="BA175" s="25">
        <f t="shared" si="43"/>
        <v>60800</v>
      </c>
      <c r="BB175" s="25">
        <f t="shared" si="43"/>
        <v>61375</v>
      </c>
      <c r="BC175" s="25">
        <f t="shared" si="43"/>
        <v>61950</v>
      </c>
      <c r="BD175" s="25">
        <f t="shared" si="43"/>
        <v>86250</v>
      </c>
      <c r="BE175" s="25">
        <f t="shared" si="43"/>
        <v>87000</v>
      </c>
      <c r="BF175" s="25">
        <f t="shared" si="43"/>
        <v>87750</v>
      </c>
      <c r="BG175" s="25">
        <f t="shared" si="43"/>
        <v>88500</v>
      </c>
      <c r="BH175" s="25">
        <f t="shared" si="43"/>
        <v>89250</v>
      </c>
      <c r="BI175" s="25">
        <f t="shared" si="43"/>
        <v>90750</v>
      </c>
      <c r="BJ175" s="25">
        <f t="shared" si="43"/>
        <v>91500</v>
      </c>
      <c r="BK175" s="25">
        <f t="shared" si="43"/>
        <v>92250</v>
      </c>
      <c r="BL175" s="25">
        <f t="shared" si="43"/>
        <v>93000</v>
      </c>
      <c r="BM175" s="25">
        <f t="shared" si="43"/>
        <v>93750</v>
      </c>
      <c r="BN175" s="25">
        <f t="shared" si="43"/>
        <v>96000</v>
      </c>
      <c r="BO175" s="25">
        <f t="shared" si="43"/>
        <v>96750</v>
      </c>
    </row>
    <row r="176" spans="1:67" s="224" customFormat="1" x14ac:dyDescent="0.25">
      <c r="A176" s="224" t="s">
        <v>255</v>
      </c>
      <c r="B176" s="225">
        <f t="shared" ref="B176" si="44">MAX(D176:AQ176)</f>
        <v>645225</v>
      </c>
      <c r="C176" s="183"/>
      <c r="D176" s="224">
        <f>D175</f>
        <v>0</v>
      </c>
      <c r="E176" s="224">
        <f>E175+D176</f>
        <v>0</v>
      </c>
      <c r="F176" s="224">
        <f t="shared" ref="F176:BO176" si="45">F175+E176</f>
        <v>0</v>
      </c>
      <c r="G176" s="224">
        <f t="shared" si="45"/>
        <v>0</v>
      </c>
      <c r="H176" s="224">
        <f t="shared" si="45"/>
        <v>3000</v>
      </c>
      <c r="I176" s="224">
        <f t="shared" si="45"/>
        <v>6250</v>
      </c>
      <c r="J176" s="224">
        <f t="shared" si="45"/>
        <v>9750</v>
      </c>
      <c r="K176" s="224">
        <f t="shared" si="45"/>
        <v>13750</v>
      </c>
      <c r="L176" s="224">
        <f t="shared" si="45"/>
        <v>18000</v>
      </c>
      <c r="M176" s="224">
        <f t="shared" si="45"/>
        <v>22500</v>
      </c>
      <c r="N176" s="224">
        <f t="shared" si="45"/>
        <v>27250</v>
      </c>
      <c r="O176" s="224">
        <f t="shared" si="45"/>
        <v>32250</v>
      </c>
      <c r="P176" s="224">
        <f t="shared" si="45"/>
        <v>38000</v>
      </c>
      <c r="Q176" s="224">
        <f t="shared" si="45"/>
        <v>44000</v>
      </c>
      <c r="R176" s="224">
        <f t="shared" si="45"/>
        <v>50250</v>
      </c>
      <c r="S176" s="224">
        <f t="shared" si="45"/>
        <v>56750</v>
      </c>
      <c r="T176" s="224">
        <f t="shared" si="45"/>
        <v>70812.5</v>
      </c>
      <c r="U176" s="224">
        <f t="shared" si="45"/>
        <v>85500</v>
      </c>
      <c r="V176" s="224">
        <f t="shared" si="45"/>
        <v>100500</v>
      </c>
      <c r="W176" s="224">
        <f t="shared" si="45"/>
        <v>115812.5</v>
      </c>
      <c r="X176" s="224">
        <f t="shared" si="45"/>
        <v>131437.5</v>
      </c>
      <c r="Y176" s="224">
        <f t="shared" si="45"/>
        <v>147375</v>
      </c>
      <c r="Z176" s="224">
        <f t="shared" si="45"/>
        <v>164250</v>
      </c>
      <c r="AA176" s="224">
        <f t="shared" si="45"/>
        <v>181437.5</v>
      </c>
      <c r="AB176" s="224">
        <f t="shared" si="45"/>
        <v>198937.5</v>
      </c>
      <c r="AC176" s="224">
        <f t="shared" si="45"/>
        <v>216750</v>
      </c>
      <c r="AD176" s="224">
        <f t="shared" si="45"/>
        <v>234875</v>
      </c>
      <c r="AE176" s="224">
        <f t="shared" si="45"/>
        <v>253625</v>
      </c>
      <c r="AF176" s="224">
        <f t="shared" si="45"/>
        <v>283425</v>
      </c>
      <c r="AG176" s="224">
        <f t="shared" si="45"/>
        <v>313625</v>
      </c>
      <c r="AH176" s="224">
        <f t="shared" si="45"/>
        <v>344225</v>
      </c>
      <c r="AI176" s="224">
        <f t="shared" si="45"/>
        <v>375225</v>
      </c>
      <c r="AJ176" s="224">
        <f t="shared" si="45"/>
        <v>407425</v>
      </c>
      <c r="AK176" s="224">
        <f t="shared" si="45"/>
        <v>440025</v>
      </c>
      <c r="AL176" s="224">
        <f t="shared" si="45"/>
        <v>473025</v>
      </c>
      <c r="AM176" s="224">
        <f t="shared" si="45"/>
        <v>506425</v>
      </c>
      <c r="AN176" s="224">
        <f t="shared" si="45"/>
        <v>540225</v>
      </c>
      <c r="AO176" s="224">
        <f t="shared" si="45"/>
        <v>574825</v>
      </c>
      <c r="AP176" s="224">
        <f t="shared" si="45"/>
        <v>609825</v>
      </c>
      <c r="AQ176" s="224">
        <f t="shared" si="45"/>
        <v>645225</v>
      </c>
      <c r="AR176" s="224">
        <f t="shared" si="45"/>
        <v>699125</v>
      </c>
      <c r="AS176" s="224">
        <f t="shared" si="45"/>
        <v>753600</v>
      </c>
      <c r="AT176" s="224">
        <f t="shared" si="45"/>
        <v>809800</v>
      </c>
      <c r="AU176" s="224">
        <f t="shared" si="45"/>
        <v>866575</v>
      </c>
      <c r="AV176" s="224">
        <f t="shared" si="45"/>
        <v>923925</v>
      </c>
      <c r="AW176" s="224">
        <f t="shared" si="45"/>
        <v>981850</v>
      </c>
      <c r="AX176" s="224">
        <f t="shared" si="45"/>
        <v>1040350</v>
      </c>
      <c r="AY176" s="224">
        <f t="shared" si="45"/>
        <v>1100000</v>
      </c>
      <c r="AZ176" s="224">
        <f t="shared" si="45"/>
        <v>1160225</v>
      </c>
      <c r="BA176" s="224">
        <f t="shared" si="45"/>
        <v>1221025</v>
      </c>
      <c r="BB176" s="224">
        <f t="shared" si="45"/>
        <v>1282400</v>
      </c>
      <c r="BC176" s="224">
        <f t="shared" si="45"/>
        <v>1344350</v>
      </c>
      <c r="BD176" s="224">
        <f t="shared" si="45"/>
        <v>1430600</v>
      </c>
      <c r="BE176" s="224">
        <f t="shared" si="45"/>
        <v>1517600</v>
      </c>
      <c r="BF176" s="224">
        <f t="shared" si="45"/>
        <v>1605350</v>
      </c>
      <c r="BG176" s="224">
        <f t="shared" si="45"/>
        <v>1693850</v>
      </c>
      <c r="BH176" s="224">
        <f t="shared" si="45"/>
        <v>1783100</v>
      </c>
      <c r="BI176" s="224">
        <f t="shared" si="45"/>
        <v>1873850</v>
      </c>
      <c r="BJ176" s="224">
        <f t="shared" si="45"/>
        <v>1965350</v>
      </c>
      <c r="BK176" s="224">
        <f t="shared" si="45"/>
        <v>2057600</v>
      </c>
      <c r="BL176" s="224">
        <f t="shared" si="45"/>
        <v>2150600</v>
      </c>
      <c r="BM176" s="224">
        <f t="shared" si="45"/>
        <v>2244350</v>
      </c>
      <c r="BN176" s="224">
        <f t="shared" si="45"/>
        <v>2340350</v>
      </c>
      <c r="BO176" s="224">
        <f t="shared" si="45"/>
        <v>2437100</v>
      </c>
    </row>
    <row r="177" spans="1:67" x14ac:dyDescent="0.25">
      <c r="A177" s="226"/>
      <c r="B177" s="202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</row>
    <row r="178" spans="1:67" s="162" customFormat="1" x14ac:dyDescent="0.25">
      <c r="A178" s="159" t="s">
        <v>256</v>
      </c>
      <c r="B178" s="202"/>
      <c r="C178" s="161"/>
      <c r="D178" s="161"/>
      <c r="E178" s="161"/>
      <c r="F178" s="161"/>
      <c r="G178" s="161"/>
    </row>
    <row r="179" spans="1:67" x14ac:dyDescent="0.25">
      <c r="A179" s="213"/>
      <c r="B179" s="202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</row>
    <row r="180" spans="1:67" x14ac:dyDescent="0.25">
      <c r="A180" s="226" t="str">
        <f>A69</f>
        <v>Infrastructure and Database</v>
      </c>
      <c r="B180" s="202"/>
      <c r="D180" s="223">
        <f>D69+D137+D163</f>
        <v>0</v>
      </c>
      <c r="E180" s="223">
        <f t="shared" ref="E180:BO180" si="46">E69+E137+E163</f>
        <v>0</v>
      </c>
      <c r="F180" s="223">
        <f t="shared" si="46"/>
        <v>0</v>
      </c>
      <c r="G180" s="223">
        <f t="shared" si="46"/>
        <v>0</v>
      </c>
      <c r="H180" s="51">
        <f t="shared" si="46"/>
        <v>10666.666666666666</v>
      </c>
      <c r="I180" s="51">
        <f t="shared" si="46"/>
        <v>10666.666666666666</v>
      </c>
      <c r="J180" s="51">
        <f t="shared" si="46"/>
        <v>10666.666666666666</v>
      </c>
      <c r="K180" s="51">
        <f t="shared" si="46"/>
        <v>10666.666666666666</v>
      </c>
      <c r="L180" s="51">
        <f t="shared" si="46"/>
        <v>10666.666666666666</v>
      </c>
      <c r="M180" s="51">
        <f t="shared" si="46"/>
        <v>10666.666666666666</v>
      </c>
      <c r="N180" s="51">
        <f t="shared" si="46"/>
        <v>10666.666666666666</v>
      </c>
      <c r="O180" s="51">
        <f t="shared" si="46"/>
        <v>10666.666666666666</v>
      </c>
      <c r="P180" s="51">
        <f t="shared" si="46"/>
        <v>10666.666666666666</v>
      </c>
      <c r="Q180" s="51">
        <f t="shared" si="46"/>
        <v>10666.666666666666</v>
      </c>
      <c r="R180" s="51">
        <f t="shared" si="46"/>
        <v>10666.666666666666</v>
      </c>
      <c r="S180" s="51">
        <f t="shared" si="46"/>
        <v>10666.666666666666</v>
      </c>
      <c r="T180" s="51">
        <f t="shared" si="46"/>
        <v>53333.333333333336</v>
      </c>
      <c r="U180" s="51">
        <f t="shared" si="46"/>
        <v>53333.333333333336</v>
      </c>
      <c r="V180" s="51">
        <f t="shared" si="46"/>
        <v>53333.333333333336</v>
      </c>
      <c r="W180" s="51">
        <f t="shared" si="46"/>
        <v>53333.333333333336</v>
      </c>
      <c r="X180" s="51">
        <f t="shared" si="46"/>
        <v>53333.333333333336</v>
      </c>
      <c r="Y180" s="51">
        <f t="shared" si="46"/>
        <v>53333.333333333336</v>
      </c>
      <c r="Z180" s="51">
        <f t="shared" si="46"/>
        <v>53333.333333333336</v>
      </c>
      <c r="AA180" s="51">
        <f t="shared" si="46"/>
        <v>53333.333333333336</v>
      </c>
      <c r="AB180" s="51">
        <f t="shared" si="46"/>
        <v>53333.333333333336</v>
      </c>
      <c r="AC180" s="51">
        <f t="shared" si="46"/>
        <v>53333.333333333336</v>
      </c>
      <c r="AD180" s="51">
        <f t="shared" si="46"/>
        <v>53333.333333333336</v>
      </c>
      <c r="AE180" s="51">
        <f t="shared" si="46"/>
        <v>53333.333333333336</v>
      </c>
      <c r="AF180" s="51">
        <f t="shared" si="46"/>
        <v>106666.66666666667</v>
      </c>
      <c r="AG180" s="51">
        <f t="shared" si="46"/>
        <v>106666.66666666667</v>
      </c>
      <c r="AH180" s="51">
        <f t="shared" si="46"/>
        <v>106666.66666666667</v>
      </c>
      <c r="AI180" s="51">
        <f t="shared" si="46"/>
        <v>106666.66666666667</v>
      </c>
      <c r="AJ180" s="51">
        <f t="shared" si="46"/>
        <v>106666.66666666667</v>
      </c>
      <c r="AK180" s="51">
        <f t="shared" si="46"/>
        <v>106666.66666666667</v>
      </c>
      <c r="AL180" s="51">
        <f t="shared" si="46"/>
        <v>106666.66666666667</v>
      </c>
      <c r="AM180" s="51">
        <f t="shared" si="46"/>
        <v>106666.66666666667</v>
      </c>
      <c r="AN180" s="51">
        <f t="shared" si="46"/>
        <v>106666.66666666667</v>
      </c>
      <c r="AO180" s="51">
        <f t="shared" si="46"/>
        <v>106666.66666666667</v>
      </c>
      <c r="AP180" s="51">
        <f t="shared" si="46"/>
        <v>106666.66666666667</v>
      </c>
      <c r="AQ180" s="51">
        <f t="shared" si="46"/>
        <v>106666.66666666667</v>
      </c>
      <c r="AR180" s="51">
        <f t="shared" si="46"/>
        <v>170666.66666666666</v>
      </c>
      <c r="AS180" s="51">
        <f t="shared" si="46"/>
        <v>170666.66666666666</v>
      </c>
      <c r="AT180" s="51">
        <f t="shared" si="46"/>
        <v>170666.66666666666</v>
      </c>
      <c r="AU180" s="51">
        <f t="shared" si="46"/>
        <v>170666.66666666666</v>
      </c>
      <c r="AV180" s="51">
        <f t="shared" si="46"/>
        <v>170666.66666666666</v>
      </c>
      <c r="AW180" s="51">
        <f t="shared" si="46"/>
        <v>170666.66666666666</v>
      </c>
      <c r="AX180" s="51">
        <f t="shared" si="46"/>
        <v>170666.66666666666</v>
      </c>
      <c r="AY180" s="51">
        <f t="shared" si="46"/>
        <v>170666.66666666666</v>
      </c>
      <c r="AZ180" s="51">
        <f t="shared" si="46"/>
        <v>170666.66666666666</v>
      </c>
      <c r="BA180" s="51">
        <f t="shared" si="46"/>
        <v>170666.66666666666</v>
      </c>
      <c r="BB180" s="51">
        <f t="shared" si="46"/>
        <v>170666.66666666666</v>
      </c>
      <c r="BC180" s="51">
        <f t="shared" si="46"/>
        <v>170666.66666666666</v>
      </c>
      <c r="BD180" s="51">
        <f t="shared" si="46"/>
        <v>245333.33333333334</v>
      </c>
      <c r="BE180" s="51">
        <f t="shared" si="46"/>
        <v>245333.33333333334</v>
      </c>
      <c r="BF180" s="51">
        <f t="shared" si="46"/>
        <v>245333.33333333334</v>
      </c>
      <c r="BG180" s="51">
        <f t="shared" si="46"/>
        <v>245333.33333333334</v>
      </c>
      <c r="BH180" s="51">
        <f t="shared" si="46"/>
        <v>245333.33333333334</v>
      </c>
      <c r="BI180" s="51">
        <f t="shared" si="46"/>
        <v>245333.33333333334</v>
      </c>
      <c r="BJ180" s="51">
        <f t="shared" si="46"/>
        <v>245333.33333333334</v>
      </c>
      <c r="BK180" s="51">
        <f t="shared" si="46"/>
        <v>245333.33333333334</v>
      </c>
      <c r="BL180" s="51">
        <f t="shared" si="46"/>
        <v>245333.33333333334</v>
      </c>
      <c r="BM180" s="51">
        <f t="shared" si="46"/>
        <v>245333.33333333334</v>
      </c>
      <c r="BN180" s="51">
        <f t="shared" si="46"/>
        <v>245333.33333333334</v>
      </c>
      <c r="BO180" s="51">
        <f t="shared" si="46"/>
        <v>245333.33333333334</v>
      </c>
    </row>
    <row r="181" spans="1:67" x14ac:dyDescent="0.25">
      <c r="A181" s="226" t="str">
        <f>A71</f>
        <v>Customer Support</v>
      </c>
      <c r="B181" s="202"/>
      <c r="D181" s="223">
        <f>D71+D139+D165</f>
        <v>0</v>
      </c>
      <c r="E181" s="223">
        <f t="shared" ref="E181:BO181" si="47">E71+E139+E165</f>
        <v>0</v>
      </c>
      <c r="F181" s="223">
        <f t="shared" si="47"/>
        <v>0</v>
      </c>
      <c r="G181" s="223">
        <f t="shared" si="47"/>
        <v>0</v>
      </c>
      <c r="H181" s="51">
        <f t="shared" si="47"/>
        <v>5666.666666666667</v>
      </c>
      <c r="I181" s="51">
        <f t="shared" si="47"/>
        <v>5666.666666666667</v>
      </c>
      <c r="J181" s="51">
        <f t="shared" si="47"/>
        <v>5666.666666666667</v>
      </c>
      <c r="K181" s="51">
        <f t="shared" si="47"/>
        <v>5666.666666666667</v>
      </c>
      <c r="L181" s="51">
        <f t="shared" si="47"/>
        <v>5666.666666666667</v>
      </c>
      <c r="M181" s="51">
        <f t="shared" si="47"/>
        <v>5666.666666666667</v>
      </c>
      <c r="N181" s="51">
        <f t="shared" si="47"/>
        <v>5666.666666666667</v>
      </c>
      <c r="O181" s="51">
        <f t="shared" si="47"/>
        <v>5666.666666666667</v>
      </c>
      <c r="P181" s="51">
        <f t="shared" si="47"/>
        <v>5666.666666666667</v>
      </c>
      <c r="Q181" s="51">
        <f t="shared" si="47"/>
        <v>5666.666666666667</v>
      </c>
      <c r="R181" s="51">
        <f t="shared" si="47"/>
        <v>5666.666666666667</v>
      </c>
      <c r="S181" s="51">
        <f t="shared" si="47"/>
        <v>5666.666666666667</v>
      </c>
      <c r="T181" s="51">
        <f t="shared" si="47"/>
        <v>28333.333333333332</v>
      </c>
      <c r="U181" s="51">
        <f t="shared" si="47"/>
        <v>28333.333333333332</v>
      </c>
      <c r="V181" s="51">
        <f t="shared" si="47"/>
        <v>28333.333333333332</v>
      </c>
      <c r="W181" s="51">
        <f t="shared" si="47"/>
        <v>28333.333333333332</v>
      </c>
      <c r="X181" s="51">
        <f t="shared" si="47"/>
        <v>28333.333333333332</v>
      </c>
      <c r="Y181" s="51">
        <f t="shared" si="47"/>
        <v>28333.333333333332</v>
      </c>
      <c r="Z181" s="51">
        <f t="shared" si="47"/>
        <v>28333.333333333332</v>
      </c>
      <c r="AA181" s="51">
        <f t="shared" si="47"/>
        <v>28333.333333333332</v>
      </c>
      <c r="AB181" s="51">
        <f t="shared" si="47"/>
        <v>28333.333333333332</v>
      </c>
      <c r="AC181" s="51">
        <f t="shared" si="47"/>
        <v>28333.333333333332</v>
      </c>
      <c r="AD181" s="51">
        <f t="shared" si="47"/>
        <v>28333.333333333332</v>
      </c>
      <c r="AE181" s="51">
        <f t="shared" si="47"/>
        <v>28333.333333333332</v>
      </c>
      <c r="AF181" s="51">
        <f t="shared" si="47"/>
        <v>56666.666666666664</v>
      </c>
      <c r="AG181" s="51">
        <f t="shared" si="47"/>
        <v>56666.666666666664</v>
      </c>
      <c r="AH181" s="51">
        <f t="shared" si="47"/>
        <v>56666.666666666664</v>
      </c>
      <c r="AI181" s="51">
        <f t="shared" si="47"/>
        <v>56666.666666666664</v>
      </c>
      <c r="AJ181" s="51">
        <f t="shared" si="47"/>
        <v>56666.666666666664</v>
      </c>
      <c r="AK181" s="51">
        <f t="shared" si="47"/>
        <v>56666.666666666664</v>
      </c>
      <c r="AL181" s="51">
        <f t="shared" si="47"/>
        <v>56666.666666666664</v>
      </c>
      <c r="AM181" s="51">
        <f t="shared" si="47"/>
        <v>56666.666666666664</v>
      </c>
      <c r="AN181" s="51">
        <f t="shared" si="47"/>
        <v>56666.666666666664</v>
      </c>
      <c r="AO181" s="51">
        <f t="shared" si="47"/>
        <v>56666.666666666664</v>
      </c>
      <c r="AP181" s="51">
        <f t="shared" si="47"/>
        <v>56666.666666666664</v>
      </c>
      <c r="AQ181" s="51">
        <f t="shared" si="47"/>
        <v>56666.666666666664</v>
      </c>
      <c r="AR181" s="51">
        <f t="shared" si="47"/>
        <v>84958.333333333328</v>
      </c>
      <c r="AS181" s="51">
        <f t="shared" si="47"/>
        <v>84958.333333333328</v>
      </c>
      <c r="AT181" s="51">
        <f t="shared" si="47"/>
        <v>84958.333333333328</v>
      </c>
      <c r="AU181" s="51">
        <f t="shared" si="47"/>
        <v>84958.333333333328</v>
      </c>
      <c r="AV181" s="51">
        <f t="shared" si="47"/>
        <v>84958.333333333328</v>
      </c>
      <c r="AW181" s="51">
        <f t="shared" si="47"/>
        <v>84958.333333333328</v>
      </c>
      <c r="AX181" s="51">
        <f t="shared" si="47"/>
        <v>84958.333333333328</v>
      </c>
      <c r="AY181" s="51">
        <f t="shared" si="47"/>
        <v>84958.333333333328</v>
      </c>
      <c r="AZ181" s="51">
        <f t="shared" si="47"/>
        <v>84958.333333333328</v>
      </c>
      <c r="BA181" s="51">
        <f t="shared" si="47"/>
        <v>84958.333333333328</v>
      </c>
      <c r="BB181" s="51">
        <f t="shared" si="47"/>
        <v>84958.333333333328</v>
      </c>
      <c r="BC181" s="51">
        <f t="shared" si="47"/>
        <v>84958.333333333328</v>
      </c>
      <c r="BD181" s="51">
        <f t="shared" si="47"/>
        <v>130333.33333333333</v>
      </c>
      <c r="BE181" s="51">
        <f t="shared" si="47"/>
        <v>130333.33333333333</v>
      </c>
      <c r="BF181" s="51">
        <f t="shared" si="47"/>
        <v>130333.33333333333</v>
      </c>
      <c r="BG181" s="51">
        <f t="shared" si="47"/>
        <v>130333.33333333333</v>
      </c>
      <c r="BH181" s="51">
        <f t="shared" si="47"/>
        <v>130333.33333333333</v>
      </c>
      <c r="BI181" s="51">
        <f t="shared" si="47"/>
        <v>130333.33333333333</v>
      </c>
      <c r="BJ181" s="51">
        <f t="shared" si="47"/>
        <v>130333.33333333333</v>
      </c>
      <c r="BK181" s="51">
        <f t="shared" si="47"/>
        <v>130333.33333333333</v>
      </c>
      <c r="BL181" s="51">
        <f t="shared" si="47"/>
        <v>130333.33333333333</v>
      </c>
      <c r="BM181" s="51">
        <f t="shared" si="47"/>
        <v>130333.33333333333</v>
      </c>
      <c r="BN181" s="51">
        <f t="shared" si="47"/>
        <v>130333.33333333333</v>
      </c>
      <c r="BO181" s="51">
        <f t="shared" si="47"/>
        <v>130333.33333333333</v>
      </c>
    </row>
    <row r="182" spans="1:67" s="25" customFormat="1" x14ac:dyDescent="0.25">
      <c r="A182" s="25" t="s">
        <v>243</v>
      </c>
      <c r="B182" s="202">
        <f>MAX(D182:AQ182)</f>
        <v>163333.33333333334</v>
      </c>
      <c r="D182" s="25">
        <f>SUM(D180:D181)</f>
        <v>0</v>
      </c>
      <c r="E182" s="25">
        <f t="shared" ref="E182:BO182" si="48">SUM(E180:E181)</f>
        <v>0</v>
      </c>
      <c r="F182" s="25">
        <f t="shared" si="48"/>
        <v>0</v>
      </c>
      <c r="G182" s="25">
        <f t="shared" si="48"/>
        <v>0</v>
      </c>
      <c r="H182" s="25">
        <f t="shared" si="48"/>
        <v>16333.333333333332</v>
      </c>
      <c r="I182" s="25">
        <f t="shared" si="48"/>
        <v>16333.333333333332</v>
      </c>
      <c r="J182" s="25">
        <f t="shared" si="48"/>
        <v>16333.333333333332</v>
      </c>
      <c r="K182" s="25">
        <f t="shared" si="48"/>
        <v>16333.333333333332</v>
      </c>
      <c r="L182" s="25">
        <f t="shared" si="48"/>
        <v>16333.333333333332</v>
      </c>
      <c r="M182" s="25">
        <f t="shared" si="48"/>
        <v>16333.333333333332</v>
      </c>
      <c r="N182" s="25">
        <f t="shared" si="48"/>
        <v>16333.333333333332</v>
      </c>
      <c r="O182" s="25">
        <f t="shared" si="48"/>
        <v>16333.333333333332</v>
      </c>
      <c r="P182" s="25">
        <f t="shared" si="48"/>
        <v>16333.333333333332</v>
      </c>
      <c r="Q182" s="25">
        <f t="shared" si="48"/>
        <v>16333.333333333332</v>
      </c>
      <c r="R182" s="25">
        <f t="shared" si="48"/>
        <v>16333.333333333332</v>
      </c>
      <c r="S182" s="25">
        <f t="shared" si="48"/>
        <v>16333.333333333332</v>
      </c>
      <c r="T182" s="25">
        <f t="shared" si="48"/>
        <v>81666.666666666672</v>
      </c>
      <c r="U182" s="25">
        <f t="shared" si="48"/>
        <v>81666.666666666672</v>
      </c>
      <c r="V182" s="25">
        <f t="shared" si="48"/>
        <v>81666.666666666672</v>
      </c>
      <c r="W182" s="25">
        <f t="shared" si="48"/>
        <v>81666.666666666672</v>
      </c>
      <c r="X182" s="25">
        <f t="shared" si="48"/>
        <v>81666.666666666672</v>
      </c>
      <c r="Y182" s="25">
        <f t="shared" si="48"/>
        <v>81666.666666666672</v>
      </c>
      <c r="Z182" s="25">
        <f t="shared" si="48"/>
        <v>81666.666666666672</v>
      </c>
      <c r="AA182" s="25">
        <f t="shared" si="48"/>
        <v>81666.666666666672</v>
      </c>
      <c r="AB182" s="25">
        <f t="shared" si="48"/>
        <v>81666.666666666672</v>
      </c>
      <c r="AC182" s="25">
        <f t="shared" si="48"/>
        <v>81666.666666666672</v>
      </c>
      <c r="AD182" s="25">
        <f t="shared" si="48"/>
        <v>81666.666666666672</v>
      </c>
      <c r="AE182" s="25">
        <f t="shared" si="48"/>
        <v>81666.666666666672</v>
      </c>
      <c r="AF182" s="25">
        <f t="shared" si="48"/>
        <v>163333.33333333334</v>
      </c>
      <c r="AG182" s="25">
        <f t="shared" si="48"/>
        <v>163333.33333333334</v>
      </c>
      <c r="AH182" s="25">
        <f t="shared" si="48"/>
        <v>163333.33333333334</v>
      </c>
      <c r="AI182" s="25">
        <f t="shared" si="48"/>
        <v>163333.33333333334</v>
      </c>
      <c r="AJ182" s="25">
        <f t="shared" si="48"/>
        <v>163333.33333333334</v>
      </c>
      <c r="AK182" s="25">
        <f t="shared" si="48"/>
        <v>163333.33333333334</v>
      </c>
      <c r="AL182" s="25">
        <f t="shared" si="48"/>
        <v>163333.33333333334</v>
      </c>
      <c r="AM182" s="25">
        <f t="shared" si="48"/>
        <v>163333.33333333334</v>
      </c>
      <c r="AN182" s="25">
        <f t="shared" si="48"/>
        <v>163333.33333333334</v>
      </c>
      <c r="AO182" s="25">
        <f t="shared" si="48"/>
        <v>163333.33333333334</v>
      </c>
      <c r="AP182" s="25">
        <f t="shared" si="48"/>
        <v>163333.33333333334</v>
      </c>
      <c r="AQ182" s="25">
        <f t="shared" si="48"/>
        <v>163333.33333333334</v>
      </c>
      <c r="AR182" s="25">
        <f t="shared" si="48"/>
        <v>255625</v>
      </c>
      <c r="AS182" s="25">
        <f t="shared" si="48"/>
        <v>255625</v>
      </c>
      <c r="AT182" s="25">
        <f t="shared" si="48"/>
        <v>255625</v>
      </c>
      <c r="AU182" s="25">
        <f t="shared" si="48"/>
        <v>255625</v>
      </c>
      <c r="AV182" s="25">
        <f t="shared" si="48"/>
        <v>255625</v>
      </c>
      <c r="AW182" s="25">
        <f t="shared" si="48"/>
        <v>255625</v>
      </c>
      <c r="AX182" s="25">
        <f t="shared" si="48"/>
        <v>255625</v>
      </c>
      <c r="AY182" s="25">
        <f t="shared" si="48"/>
        <v>255625</v>
      </c>
      <c r="AZ182" s="25">
        <f t="shared" si="48"/>
        <v>255625</v>
      </c>
      <c r="BA182" s="25">
        <f t="shared" si="48"/>
        <v>255625</v>
      </c>
      <c r="BB182" s="25">
        <f t="shared" si="48"/>
        <v>255625</v>
      </c>
      <c r="BC182" s="25">
        <f t="shared" si="48"/>
        <v>255625</v>
      </c>
      <c r="BD182" s="25">
        <f t="shared" si="48"/>
        <v>375666.66666666669</v>
      </c>
      <c r="BE182" s="25">
        <f t="shared" si="48"/>
        <v>375666.66666666669</v>
      </c>
      <c r="BF182" s="25">
        <f t="shared" si="48"/>
        <v>375666.66666666669</v>
      </c>
      <c r="BG182" s="25">
        <f t="shared" si="48"/>
        <v>375666.66666666669</v>
      </c>
      <c r="BH182" s="25">
        <f t="shared" si="48"/>
        <v>375666.66666666669</v>
      </c>
      <c r="BI182" s="25">
        <f t="shared" si="48"/>
        <v>375666.66666666669</v>
      </c>
      <c r="BJ182" s="25">
        <f t="shared" si="48"/>
        <v>375666.66666666669</v>
      </c>
      <c r="BK182" s="25">
        <f t="shared" si="48"/>
        <v>375666.66666666669</v>
      </c>
      <c r="BL182" s="25">
        <f t="shared" si="48"/>
        <v>375666.66666666669</v>
      </c>
      <c r="BM182" s="25">
        <f t="shared" si="48"/>
        <v>375666.66666666669</v>
      </c>
      <c r="BN182" s="25">
        <f t="shared" si="48"/>
        <v>375666.66666666669</v>
      </c>
      <c r="BO182" s="25">
        <f t="shared" si="48"/>
        <v>375666.66666666669</v>
      </c>
    </row>
    <row r="183" spans="1:67" x14ac:dyDescent="0.25">
      <c r="A183" s="213"/>
      <c r="B183" s="202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</row>
    <row r="184" spans="1:67" x14ac:dyDescent="0.25">
      <c r="A184" s="226" t="str">
        <f>A75</f>
        <v>CTO</v>
      </c>
      <c r="B184" s="202"/>
      <c r="D184" s="223">
        <f>D75+D143+D169</f>
        <v>0</v>
      </c>
      <c r="E184" s="223">
        <f t="shared" ref="E184:BO187" si="49">E75+E143+E169</f>
        <v>0</v>
      </c>
      <c r="F184" s="223">
        <f t="shared" si="49"/>
        <v>0</v>
      </c>
      <c r="G184" s="223">
        <f t="shared" si="49"/>
        <v>0</v>
      </c>
      <c r="H184" s="51">
        <f t="shared" si="49"/>
        <v>15666.666666666666</v>
      </c>
      <c r="I184" s="51">
        <f t="shared" si="49"/>
        <v>15666.666666666666</v>
      </c>
      <c r="J184" s="51">
        <f t="shared" si="49"/>
        <v>15666.666666666666</v>
      </c>
      <c r="K184" s="51">
        <f t="shared" si="49"/>
        <v>15666.666666666666</v>
      </c>
      <c r="L184" s="51">
        <f t="shared" si="49"/>
        <v>15666.666666666666</v>
      </c>
      <c r="M184" s="51">
        <f t="shared" si="49"/>
        <v>15666.666666666666</v>
      </c>
      <c r="N184" s="51">
        <f t="shared" si="49"/>
        <v>15666.666666666666</v>
      </c>
      <c r="O184" s="51">
        <f t="shared" si="49"/>
        <v>15666.666666666666</v>
      </c>
      <c r="P184" s="51">
        <f t="shared" si="49"/>
        <v>15666.666666666666</v>
      </c>
      <c r="Q184" s="51">
        <f t="shared" si="49"/>
        <v>15666.666666666666</v>
      </c>
      <c r="R184" s="51">
        <f t="shared" si="49"/>
        <v>15666.666666666666</v>
      </c>
      <c r="S184" s="51">
        <f t="shared" si="49"/>
        <v>15666.666666666666</v>
      </c>
      <c r="T184" s="51">
        <f t="shared" si="49"/>
        <v>78333.333333333328</v>
      </c>
      <c r="U184" s="51">
        <f t="shared" si="49"/>
        <v>78333.333333333328</v>
      </c>
      <c r="V184" s="51">
        <f t="shared" si="49"/>
        <v>78333.333333333328</v>
      </c>
      <c r="W184" s="51">
        <f t="shared" si="49"/>
        <v>78333.333333333328</v>
      </c>
      <c r="X184" s="51">
        <f t="shared" si="49"/>
        <v>78333.333333333328</v>
      </c>
      <c r="Y184" s="51">
        <f t="shared" si="49"/>
        <v>78333.333333333328</v>
      </c>
      <c r="Z184" s="51">
        <f t="shared" si="49"/>
        <v>78333.333333333328</v>
      </c>
      <c r="AA184" s="51">
        <f t="shared" si="49"/>
        <v>78333.333333333328</v>
      </c>
      <c r="AB184" s="51">
        <f t="shared" si="49"/>
        <v>78333.333333333328</v>
      </c>
      <c r="AC184" s="51">
        <f t="shared" si="49"/>
        <v>78333.333333333328</v>
      </c>
      <c r="AD184" s="51">
        <f t="shared" si="49"/>
        <v>78333.333333333328</v>
      </c>
      <c r="AE184" s="51">
        <f t="shared" si="49"/>
        <v>78333.333333333328</v>
      </c>
      <c r="AF184" s="51">
        <f t="shared" si="49"/>
        <v>156666.66666666666</v>
      </c>
      <c r="AG184" s="51">
        <f t="shared" si="49"/>
        <v>156666.66666666666</v>
      </c>
      <c r="AH184" s="51">
        <f t="shared" si="49"/>
        <v>156666.66666666666</v>
      </c>
      <c r="AI184" s="51">
        <f t="shared" si="49"/>
        <v>156666.66666666666</v>
      </c>
      <c r="AJ184" s="51">
        <f t="shared" si="49"/>
        <v>156666.66666666666</v>
      </c>
      <c r="AK184" s="51">
        <f t="shared" si="49"/>
        <v>156666.66666666666</v>
      </c>
      <c r="AL184" s="51">
        <f t="shared" si="49"/>
        <v>156666.66666666666</v>
      </c>
      <c r="AM184" s="51">
        <f t="shared" si="49"/>
        <v>156666.66666666666</v>
      </c>
      <c r="AN184" s="51">
        <f t="shared" si="49"/>
        <v>156666.66666666666</v>
      </c>
      <c r="AO184" s="51">
        <f t="shared" si="49"/>
        <v>156666.66666666666</v>
      </c>
      <c r="AP184" s="51">
        <f t="shared" si="49"/>
        <v>156666.66666666666</v>
      </c>
      <c r="AQ184" s="51">
        <f t="shared" si="49"/>
        <v>156666.66666666666</v>
      </c>
      <c r="AR184" s="51">
        <f t="shared" si="49"/>
        <v>250666.66666666666</v>
      </c>
      <c r="AS184" s="51">
        <f t="shared" si="49"/>
        <v>250666.66666666666</v>
      </c>
      <c r="AT184" s="51">
        <f t="shared" si="49"/>
        <v>250666.66666666666</v>
      </c>
      <c r="AU184" s="51">
        <f t="shared" si="49"/>
        <v>250666.66666666666</v>
      </c>
      <c r="AV184" s="51">
        <f t="shared" si="49"/>
        <v>250666.66666666666</v>
      </c>
      <c r="AW184" s="51">
        <f t="shared" si="49"/>
        <v>250666.66666666666</v>
      </c>
      <c r="AX184" s="51">
        <f t="shared" si="49"/>
        <v>250666.66666666666</v>
      </c>
      <c r="AY184" s="51">
        <f t="shared" si="49"/>
        <v>250666.66666666666</v>
      </c>
      <c r="AZ184" s="51">
        <f t="shared" si="49"/>
        <v>250666.66666666666</v>
      </c>
      <c r="BA184" s="51">
        <f t="shared" si="49"/>
        <v>250666.66666666666</v>
      </c>
      <c r="BB184" s="51">
        <f t="shared" si="49"/>
        <v>250666.66666666666</v>
      </c>
      <c r="BC184" s="51">
        <f t="shared" si="49"/>
        <v>250666.66666666666</v>
      </c>
      <c r="BD184" s="51">
        <f t="shared" si="49"/>
        <v>360333.33333333331</v>
      </c>
      <c r="BE184" s="51">
        <f t="shared" si="49"/>
        <v>360333.33333333331</v>
      </c>
      <c r="BF184" s="51">
        <f t="shared" si="49"/>
        <v>360333.33333333331</v>
      </c>
      <c r="BG184" s="51">
        <f t="shared" si="49"/>
        <v>360333.33333333331</v>
      </c>
      <c r="BH184" s="51">
        <f t="shared" si="49"/>
        <v>360333.33333333331</v>
      </c>
      <c r="BI184" s="51">
        <f t="shared" si="49"/>
        <v>360333.33333333331</v>
      </c>
      <c r="BJ184" s="51">
        <f t="shared" si="49"/>
        <v>360333.33333333331</v>
      </c>
      <c r="BK184" s="51">
        <f t="shared" si="49"/>
        <v>360333.33333333331</v>
      </c>
      <c r="BL184" s="51">
        <f t="shared" si="49"/>
        <v>360333.33333333331</v>
      </c>
      <c r="BM184" s="51">
        <f t="shared" si="49"/>
        <v>360333.33333333331</v>
      </c>
      <c r="BN184" s="51">
        <f t="shared" si="49"/>
        <v>360333.33333333331</v>
      </c>
      <c r="BO184" s="51">
        <f t="shared" si="49"/>
        <v>360333.33333333331</v>
      </c>
    </row>
    <row r="185" spans="1:67" x14ac:dyDescent="0.25">
      <c r="A185" s="226" t="str">
        <f>A76</f>
        <v>CISO</v>
      </c>
      <c r="B185" s="202"/>
      <c r="D185" s="223">
        <f t="shared" ref="D185:H187" si="50">D76+D144+D170</f>
        <v>0</v>
      </c>
      <c r="E185" s="223">
        <f t="shared" si="50"/>
        <v>0</v>
      </c>
      <c r="F185" s="223">
        <f t="shared" si="50"/>
        <v>0</v>
      </c>
      <c r="G185" s="223">
        <f t="shared" si="50"/>
        <v>0</v>
      </c>
      <c r="H185" s="51">
        <f t="shared" si="50"/>
        <v>13166.666666666666</v>
      </c>
      <c r="I185" s="51">
        <f t="shared" si="49"/>
        <v>13166.666666666666</v>
      </c>
      <c r="J185" s="51">
        <f t="shared" si="49"/>
        <v>13166.666666666666</v>
      </c>
      <c r="K185" s="51">
        <f t="shared" si="49"/>
        <v>13166.666666666666</v>
      </c>
      <c r="L185" s="51">
        <f t="shared" si="49"/>
        <v>13166.666666666666</v>
      </c>
      <c r="M185" s="51">
        <f t="shared" si="49"/>
        <v>13166.666666666666</v>
      </c>
      <c r="N185" s="51">
        <f t="shared" si="49"/>
        <v>13166.666666666666</v>
      </c>
      <c r="O185" s="51">
        <f t="shared" si="49"/>
        <v>13166.666666666666</v>
      </c>
      <c r="P185" s="51">
        <f t="shared" si="49"/>
        <v>13166.666666666666</v>
      </c>
      <c r="Q185" s="51">
        <f t="shared" si="49"/>
        <v>13166.666666666666</v>
      </c>
      <c r="R185" s="51">
        <f t="shared" si="49"/>
        <v>13166.666666666666</v>
      </c>
      <c r="S185" s="51">
        <f t="shared" si="49"/>
        <v>13166.666666666666</v>
      </c>
      <c r="T185" s="51">
        <f t="shared" si="49"/>
        <v>65833.333333333343</v>
      </c>
      <c r="U185" s="51">
        <f t="shared" si="49"/>
        <v>65833.333333333343</v>
      </c>
      <c r="V185" s="51">
        <f t="shared" si="49"/>
        <v>65833.333333333343</v>
      </c>
      <c r="W185" s="51">
        <f t="shared" si="49"/>
        <v>65833.333333333343</v>
      </c>
      <c r="X185" s="51">
        <f t="shared" si="49"/>
        <v>65833.333333333343</v>
      </c>
      <c r="Y185" s="51">
        <f t="shared" si="49"/>
        <v>65833.333333333343</v>
      </c>
      <c r="Z185" s="51">
        <f t="shared" si="49"/>
        <v>65833.333333333343</v>
      </c>
      <c r="AA185" s="51">
        <f t="shared" si="49"/>
        <v>65833.333333333343</v>
      </c>
      <c r="AB185" s="51">
        <f t="shared" si="49"/>
        <v>65833.333333333343</v>
      </c>
      <c r="AC185" s="51">
        <f t="shared" si="49"/>
        <v>65833.333333333343</v>
      </c>
      <c r="AD185" s="51">
        <f t="shared" si="49"/>
        <v>65833.333333333343</v>
      </c>
      <c r="AE185" s="51">
        <f t="shared" si="49"/>
        <v>65833.333333333343</v>
      </c>
      <c r="AF185" s="51">
        <f t="shared" si="49"/>
        <v>131666.66666666669</v>
      </c>
      <c r="AG185" s="51">
        <f t="shared" si="49"/>
        <v>131666.66666666669</v>
      </c>
      <c r="AH185" s="51">
        <f t="shared" si="49"/>
        <v>131666.66666666669</v>
      </c>
      <c r="AI185" s="51">
        <f t="shared" si="49"/>
        <v>131666.66666666669</v>
      </c>
      <c r="AJ185" s="51">
        <f t="shared" si="49"/>
        <v>131666.66666666669</v>
      </c>
      <c r="AK185" s="51">
        <f t="shared" si="49"/>
        <v>131666.66666666669</v>
      </c>
      <c r="AL185" s="51">
        <f t="shared" si="49"/>
        <v>131666.66666666669</v>
      </c>
      <c r="AM185" s="51">
        <f t="shared" si="49"/>
        <v>131666.66666666669</v>
      </c>
      <c r="AN185" s="51">
        <f t="shared" si="49"/>
        <v>131666.66666666669</v>
      </c>
      <c r="AO185" s="51">
        <f t="shared" si="49"/>
        <v>131666.66666666669</v>
      </c>
      <c r="AP185" s="51">
        <f t="shared" si="49"/>
        <v>131666.66666666669</v>
      </c>
      <c r="AQ185" s="51">
        <f t="shared" si="49"/>
        <v>131666.66666666669</v>
      </c>
      <c r="AR185" s="51">
        <f t="shared" si="49"/>
        <v>210666.66666666666</v>
      </c>
      <c r="AS185" s="51">
        <f t="shared" si="49"/>
        <v>210666.66666666666</v>
      </c>
      <c r="AT185" s="51">
        <f t="shared" si="49"/>
        <v>210666.66666666666</v>
      </c>
      <c r="AU185" s="51">
        <f t="shared" si="49"/>
        <v>210666.66666666666</v>
      </c>
      <c r="AV185" s="51">
        <f t="shared" si="49"/>
        <v>210666.66666666666</v>
      </c>
      <c r="AW185" s="51">
        <f t="shared" si="49"/>
        <v>210666.66666666666</v>
      </c>
      <c r="AX185" s="51">
        <f t="shared" si="49"/>
        <v>210666.66666666666</v>
      </c>
      <c r="AY185" s="51">
        <f t="shared" si="49"/>
        <v>210666.66666666666</v>
      </c>
      <c r="AZ185" s="51">
        <f t="shared" si="49"/>
        <v>210666.66666666666</v>
      </c>
      <c r="BA185" s="51">
        <f t="shared" si="49"/>
        <v>210666.66666666666</v>
      </c>
      <c r="BB185" s="51">
        <f t="shared" si="49"/>
        <v>210666.66666666666</v>
      </c>
      <c r="BC185" s="51">
        <f t="shared" si="49"/>
        <v>210666.66666666666</v>
      </c>
      <c r="BD185" s="51">
        <f t="shared" si="49"/>
        <v>302833.33333333331</v>
      </c>
      <c r="BE185" s="51">
        <f t="shared" si="49"/>
        <v>302833.33333333331</v>
      </c>
      <c r="BF185" s="51">
        <f t="shared" si="49"/>
        <v>302833.33333333331</v>
      </c>
      <c r="BG185" s="51">
        <f t="shared" si="49"/>
        <v>302833.33333333331</v>
      </c>
      <c r="BH185" s="51">
        <f t="shared" si="49"/>
        <v>302833.33333333331</v>
      </c>
      <c r="BI185" s="51">
        <f t="shared" si="49"/>
        <v>302833.33333333331</v>
      </c>
      <c r="BJ185" s="51">
        <f t="shared" si="49"/>
        <v>302833.33333333331</v>
      </c>
      <c r="BK185" s="51">
        <f t="shared" si="49"/>
        <v>302833.33333333331</v>
      </c>
      <c r="BL185" s="51">
        <f t="shared" si="49"/>
        <v>302833.33333333331</v>
      </c>
      <c r="BM185" s="51">
        <f t="shared" si="49"/>
        <v>302833.33333333331</v>
      </c>
      <c r="BN185" s="51">
        <f t="shared" si="49"/>
        <v>302833.33333333331</v>
      </c>
      <c r="BO185" s="51">
        <f t="shared" si="49"/>
        <v>302833.33333333331</v>
      </c>
    </row>
    <row r="186" spans="1:67" x14ac:dyDescent="0.25">
      <c r="A186" s="226" t="str">
        <f>A77</f>
        <v>InfoSec Consultant</v>
      </c>
      <c r="B186" s="202"/>
      <c r="D186" s="223">
        <f t="shared" si="50"/>
        <v>0</v>
      </c>
      <c r="E186" s="223">
        <f t="shared" si="50"/>
        <v>0</v>
      </c>
      <c r="F186" s="223">
        <f t="shared" si="50"/>
        <v>0</v>
      </c>
      <c r="G186" s="223">
        <f t="shared" si="50"/>
        <v>0</v>
      </c>
      <c r="H186" s="51">
        <f t="shared" si="50"/>
        <v>9000</v>
      </c>
      <c r="I186" s="51">
        <f t="shared" si="49"/>
        <v>9000</v>
      </c>
      <c r="J186" s="51">
        <f t="shared" si="49"/>
        <v>9000</v>
      </c>
      <c r="K186" s="51">
        <f t="shared" si="49"/>
        <v>9000</v>
      </c>
      <c r="L186" s="51">
        <f t="shared" si="49"/>
        <v>9000</v>
      </c>
      <c r="M186" s="51">
        <f t="shared" si="49"/>
        <v>9000</v>
      </c>
      <c r="N186" s="51">
        <f t="shared" si="49"/>
        <v>9000</v>
      </c>
      <c r="O186" s="51">
        <f t="shared" si="49"/>
        <v>9000</v>
      </c>
      <c r="P186" s="51">
        <f t="shared" si="49"/>
        <v>9000</v>
      </c>
      <c r="Q186" s="51">
        <f t="shared" si="49"/>
        <v>9000</v>
      </c>
      <c r="R186" s="51">
        <f t="shared" si="49"/>
        <v>9000</v>
      </c>
      <c r="S186" s="51">
        <f t="shared" si="49"/>
        <v>9000</v>
      </c>
      <c r="T186" s="51">
        <f t="shared" si="49"/>
        <v>45000.000000000007</v>
      </c>
      <c r="U186" s="51">
        <f t="shared" si="49"/>
        <v>45000.000000000007</v>
      </c>
      <c r="V186" s="51">
        <f t="shared" si="49"/>
        <v>45000.000000000007</v>
      </c>
      <c r="W186" s="51">
        <f t="shared" si="49"/>
        <v>45000.000000000007</v>
      </c>
      <c r="X186" s="51">
        <f t="shared" si="49"/>
        <v>45000.000000000007</v>
      </c>
      <c r="Y186" s="51">
        <f t="shared" si="49"/>
        <v>45000.000000000007</v>
      </c>
      <c r="Z186" s="51">
        <f t="shared" si="49"/>
        <v>45000.000000000007</v>
      </c>
      <c r="AA186" s="51">
        <f t="shared" si="49"/>
        <v>45000.000000000007</v>
      </c>
      <c r="AB186" s="51">
        <f t="shared" si="49"/>
        <v>45000.000000000007</v>
      </c>
      <c r="AC186" s="51">
        <f t="shared" si="49"/>
        <v>45000.000000000007</v>
      </c>
      <c r="AD186" s="51">
        <f t="shared" si="49"/>
        <v>45000.000000000007</v>
      </c>
      <c r="AE186" s="51">
        <f t="shared" si="49"/>
        <v>45000.000000000007</v>
      </c>
      <c r="AF186" s="51">
        <f t="shared" si="49"/>
        <v>90000</v>
      </c>
      <c r="AG186" s="51">
        <f t="shared" si="49"/>
        <v>90000</v>
      </c>
      <c r="AH186" s="51">
        <f t="shared" si="49"/>
        <v>90000</v>
      </c>
      <c r="AI186" s="51">
        <f t="shared" si="49"/>
        <v>90000</v>
      </c>
      <c r="AJ186" s="51">
        <f t="shared" si="49"/>
        <v>90000</v>
      </c>
      <c r="AK186" s="51">
        <f t="shared" si="49"/>
        <v>90000</v>
      </c>
      <c r="AL186" s="51">
        <f t="shared" si="49"/>
        <v>90000</v>
      </c>
      <c r="AM186" s="51">
        <f t="shared" si="49"/>
        <v>90000</v>
      </c>
      <c r="AN186" s="51">
        <f t="shared" si="49"/>
        <v>90000</v>
      </c>
      <c r="AO186" s="51">
        <f t="shared" si="49"/>
        <v>90000</v>
      </c>
      <c r="AP186" s="51">
        <f t="shared" si="49"/>
        <v>90000</v>
      </c>
      <c r="AQ186" s="51">
        <f t="shared" si="49"/>
        <v>90000</v>
      </c>
      <c r="AR186" s="51">
        <f t="shared" si="49"/>
        <v>144000</v>
      </c>
      <c r="AS186" s="51">
        <f t="shared" si="49"/>
        <v>144000</v>
      </c>
      <c r="AT186" s="51">
        <f t="shared" si="49"/>
        <v>144000</v>
      </c>
      <c r="AU186" s="51">
        <f t="shared" si="49"/>
        <v>144000</v>
      </c>
      <c r="AV186" s="51">
        <f t="shared" si="49"/>
        <v>144000</v>
      </c>
      <c r="AW186" s="51">
        <f t="shared" si="49"/>
        <v>144000</v>
      </c>
      <c r="AX186" s="51">
        <f t="shared" si="49"/>
        <v>144000</v>
      </c>
      <c r="AY186" s="51">
        <f t="shared" si="49"/>
        <v>144000</v>
      </c>
      <c r="AZ186" s="51">
        <f t="shared" si="49"/>
        <v>144000</v>
      </c>
      <c r="BA186" s="51">
        <f t="shared" si="49"/>
        <v>144000</v>
      </c>
      <c r="BB186" s="51">
        <f t="shared" si="49"/>
        <v>144000</v>
      </c>
      <c r="BC186" s="51">
        <f t="shared" si="49"/>
        <v>144000</v>
      </c>
      <c r="BD186" s="51">
        <f t="shared" si="49"/>
        <v>207000.00000000003</v>
      </c>
      <c r="BE186" s="51">
        <f t="shared" si="49"/>
        <v>207000.00000000003</v>
      </c>
      <c r="BF186" s="51">
        <f t="shared" si="49"/>
        <v>207000.00000000003</v>
      </c>
      <c r="BG186" s="51">
        <f t="shared" si="49"/>
        <v>207000.00000000003</v>
      </c>
      <c r="BH186" s="51">
        <f t="shared" si="49"/>
        <v>207000.00000000003</v>
      </c>
      <c r="BI186" s="51">
        <f t="shared" si="49"/>
        <v>207000.00000000003</v>
      </c>
      <c r="BJ186" s="51">
        <f t="shared" si="49"/>
        <v>207000.00000000003</v>
      </c>
      <c r="BK186" s="51">
        <f t="shared" si="49"/>
        <v>207000.00000000003</v>
      </c>
      <c r="BL186" s="51">
        <f t="shared" si="49"/>
        <v>207000.00000000003</v>
      </c>
      <c r="BM186" s="51">
        <f t="shared" si="49"/>
        <v>207000.00000000003</v>
      </c>
      <c r="BN186" s="51">
        <f t="shared" si="49"/>
        <v>207000.00000000003</v>
      </c>
      <c r="BO186" s="51">
        <f t="shared" si="49"/>
        <v>207000.00000000003</v>
      </c>
    </row>
    <row r="187" spans="1:67" x14ac:dyDescent="0.25">
      <c r="A187" s="226" t="str">
        <f>A78</f>
        <v>Laravel Developer</v>
      </c>
      <c r="B187" s="202"/>
      <c r="D187" s="223">
        <f t="shared" si="50"/>
        <v>0</v>
      </c>
      <c r="E187" s="223">
        <f t="shared" si="50"/>
        <v>0</v>
      </c>
      <c r="F187" s="223">
        <f t="shared" si="50"/>
        <v>0</v>
      </c>
      <c r="G187" s="223">
        <f t="shared" si="50"/>
        <v>0</v>
      </c>
      <c r="H187" s="51">
        <f t="shared" si="50"/>
        <v>9833.3333333333321</v>
      </c>
      <c r="I187" s="51">
        <f t="shared" si="49"/>
        <v>9833.3333333333321</v>
      </c>
      <c r="J187" s="51">
        <f t="shared" si="49"/>
        <v>9833.3333333333321</v>
      </c>
      <c r="K187" s="51">
        <f t="shared" si="49"/>
        <v>9833.3333333333321</v>
      </c>
      <c r="L187" s="51">
        <f t="shared" si="49"/>
        <v>9833.3333333333321</v>
      </c>
      <c r="M187" s="51">
        <f t="shared" si="49"/>
        <v>9833.3333333333321</v>
      </c>
      <c r="N187" s="51">
        <f t="shared" si="49"/>
        <v>9833.3333333333321</v>
      </c>
      <c r="O187" s="51">
        <f t="shared" si="49"/>
        <v>9833.3333333333321</v>
      </c>
      <c r="P187" s="51">
        <f t="shared" si="49"/>
        <v>9833.3333333333321</v>
      </c>
      <c r="Q187" s="51">
        <f t="shared" si="49"/>
        <v>9833.3333333333321</v>
      </c>
      <c r="R187" s="51">
        <f t="shared" si="49"/>
        <v>9833.3333333333321</v>
      </c>
      <c r="S187" s="51">
        <f t="shared" si="49"/>
        <v>9833.3333333333321</v>
      </c>
      <c r="T187" s="51">
        <f t="shared" si="49"/>
        <v>49166.666666666664</v>
      </c>
      <c r="U187" s="51">
        <f t="shared" si="49"/>
        <v>49166.666666666664</v>
      </c>
      <c r="V187" s="51">
        <f t="shared" si="49"/>
        <v>49166.666666666664</v>
      </c>
      <c r="W187" s="51">
        <f t="shared" si="49"/>
        <v>49166.666666666664</v>
      </c>
      <c r="X187" s="51">
        <f t="shared" si="49"/>
        <v>49166.666666666664</v>
      </c>
      <c r="Y187" s="51">
        <f t="shared" si="49"/>
        <v>49166.666666666664</v>
      </c>
      <c r="Z187" s="51">
        <f t="shared" si="49"/>
        <v>49166.666666666664</v>
      </c>
      <c r="AA187" s="51">
        <f t="shared" si="49"/>
        <v>49166.666666666664</v>
      </c>
      <c r="AB187" s="51">
        <f t="shared" si="49"/>
        <v>49166.666666666664</v>
      </c>
      <c r="AC187" s="51">
        <f t="shared" si="49"/>
        <v>49166.666666666664</v>
      </c>
      <c r="AD187" s="51">
        <f t="shared" si="49"/>
        <v>49166.666666666664</v>
      </c>
      <c r="AE187" s="51">
        <f t="shared" si="49"/>
        <v>49166.666666666664</v>
      </c>
      <c r="AF187" s="51">
        <f t="shared" si="49"/>
        <v>98333.333333333343</v>
      </c>
      <c r="AG187" s="51">
        <f t="shared" si="49"/>
        <v>98333.333333333343</v>
      </c>
      <c r="AH187" s="51">
        <f t="shared" si="49"/>
        <v>98333.333333333343</v>
      </c>
      <c r="AI187" s="51">
        <f t="shared" si="49"/>
        <v>98333.333333333343</v>
      </c>
      <c r="AJ187" s="51">
        <f t="shared" si="49"/>
        <v>98333.333333333343</v>
      </c>
      <c r="AK187" s="51">
        <f t="shared" si="49"/>
        <v>98333.333333333343</v>
      </c>
      <c r="AL187" s="51">
        <f t="shared" si="49"/>
        <v>98333.333333333343</v>
      </c>
      <c r="AM187" s="51">
        <f t="shared" si="49"/>
        <v>98333.333333333343</v>
      </c>
      <c r="AN187" s="51">
        <f t="shared" si="49"/>
        <v>98333.333333333343</v>
      </c>
      <c r="AO187" s="51">
        <f t="shared" si="49"/>
        <v>98333.333333333343</v>
      </c>
      <c r="AP187" s="51">
        <f t="shared" si="49"/>
        <v>98333.333333333343</v>
      </c>
      <c r="AQ187" s="51">
        <f t="shared" si="49"/>
        <v>98333.333333333343</v>
      </c>
      <c r="AR187" s="51">
        <f t="shared" si="49"/>
        <v>157333.33333333331</v>
      </c>
      <c r="AS187" s="51">
        <f t="shared" si="49"/>
        <v>157333.33333333331</v>
      </c>
      <c r="AT187" s="51">
        <f t="shared" si="49"/>
        <v>157333.33333333331</v>
      </c>
      <c r="AU187" s="51">
        <f t="shared" si="49"/>
        <v>157333.33333333331</v>
      </c>
      <c r="AV187" s="51">
        <f t="shared" si="49"/>
        <v>157333.33333333331</v>
      </c>
      <c r="AW187" s="51">
        <f t="shared" si="49"/>
        <v>157333.33333333331</v>
      </c>
      <c r="AX187" s="51">
        <f t="shared" si="49"/>
        <v>157333.33333333331</v>
      </c>
      <c r="AY187" s="51">
        <f t="shared" si="49"/>
        <v>157333.33333333331</v>
      </c>
      <c r="AZ187" s="51">
        <f t="shared" si="49"/>
        <v>157333.33333333331</v>
      </c>
      <c r="BA187" s="51">
        <f t="shared" si="49"/>
        <v>157333.33333333331</v>
      </c>
      <c r="BB187" s="51">
        <f t="shared" si="49"/>
        <v>157333.33333333331</v>
      </c>
      <c r="BC187" s="51">
        <f t="shared" si="49"/>
        <v>157333.33333333331</v>
      </c>
      <c r="BD187" s="51">
        <f t="shared" si="49"/>
        <v>226166.66666666666</v>
      </c>
      <c r="BE187" s="51">
        <f t="shared" si="49"/>
        <v>226166.66666666666</v>
      </c>
      <c r="BF187" s="51">
        <f t="shared" si="49"/>
        <v>226166.66666666666</v>
      </c>
      <c r="BG187" s="51">
        <f t="shared" si="49"/>
        <v>226166.66666666666</v>
      </c>
      <c r="BH187" s="51">
        <f t="shared" si="49"/>
        <v>226166.66666666666</v>
      </c>
      <c r="BI187" s="51">
        <f t="shared" si="49"/>
        <v>226166.66666666666</v>
      </c>
      <c r="BJ187" s="51">
        <f t="shared" si="49"/>
        <v>226166.66666666666</v>
      </c>
      <c r="BK187" s="51">
        <f t="shared" si="49"/>
        <v>226166.66666666666</v>
      </c>
      <c r="BL187" s="51">
        <f t="shared" si="49"/>
        <v>226166.66666666666</v>
      </c>
      <c r="BM187" s="51">
        <f t="shared" si="49"/>
        <v>226166.66666666666</v>
      </c>
      <c r="BN187" s="51">
        <f t="shared" si="49"/>
        <v>226166.66666666666</v>
      </c>
      <c r="BO187" s="51">
        <f t="shared" si="49"/>
        <v>226166.66666666666</v>
      </c>
    </row>
    <row r="188" spans="1:67" s="25" customFormat="1" x14ac:dyDescent="0.25">
      <c r="A188" s="25" t="s">
        <v>243</v>
      </c>
      <c r="B188" s="202">
        <f>MAX(D188:AQ188)</f>
        <v>476666.66666666674</v>
      </c>
      <c r="D188" s="25">
        <f>SUM(D184:D187)</f>
        <v>0</v>
      </c>
      <c r="E188" s="25">
        <f t="shared" ref="E188:BO188" si="51">SUM(E184:E187)</f>
        <v>0</v>
      </c>
      <c r="F188" s="25">
        <f t="shared" si="51"/>
        <v>0</v>
      </c>
      <c r="G188" s="25">
        <f t="shared" si="51"/>
        <v>0</v>
      </c>
      <c r="H188" s="25">
        <f t="shared" si="51"/>
        <v>47666.666666666657</v>
      </c>
      <c r="I188" s="25">
        <f t="shared" si="51"/>
        <v>47666.666666666657</v>
      </c>
      <c r="J188" s="25">
        <f t="shared" si="51"/>
        <v>47666.666666666657</v>
      </c>
      <c r="K188" s="25">
        <f t="shared" si="51"/>
        <v>47666.666666666657</v>
      </c>
      <c r="L188" s="25">
        <f t="shared" si="51"/>
        <v>47666.666666666657</v>
      </c>
      <c r="M188" s="25">
        <f t="shared" si="51"/>
        <v>47666.666666666657</v>
      </c>
      <c r="N188" s="25">
        <f t="shared" si="51"/>
        <v>47666.666666666657</v>
      </c>
      <c r="O188" s="25">
        <f t="shared" si="51"/>
        <v>47666.666666666657</v>
      </c>
      <c r="P188" s="25">
        <f t="shared" si="51"/>
        <v>47666.666666666657</v>
      </c>
      <c r="Q188" s="25">
        <f t="shared" si="51"/>
        <v>47666.666666666657</v>
      </c>
      <c r="R188" s="25">
        <f t="shared" si="51"/>
        <v>47666.666666666657</v>
      </c>
      <c r="S188" s="25">
        <f t="shared" si="51"/>
        <v>47666.666666666657</v>
      </c>
      <c r="T188" s="25">
        <f t="shared" si="51"/>
        <v>238333.33333333334</v>
      </c>
      <c r="U188" s="25">
        <f t="shared" si="51"/>
        <v>238333.33333333334</v>
      </c>
      <c r="V188" s="25">
        <f t="shared" si="51"/>
        <v>238333.33333333334</v>
      </c>
      <c r="W188" s="25">
        <f t="shared" si="51"/>
        <v>238333.33333333334</v>
      </c>
      <c r="X188" s="25">
        <f t="shared" si="51"/>
        <v>238333.33333333334</v>
      </c>
      <c r="Y188" s="25">
        <f t="shared" si="51"/>
        <v>238333.33333333334</v>
      </c>
      <c r="Z188" s="25">
        <f t="shared" si="51"/>
        <v>238333.33333333334</v>
      </c>
      <c r="AA188" s="25">
        <f t="shared" si="51"/>
        <v>238333.33333333334</v>
      </c>
      <c r="AB188" s="25">
        <f t="shared" si="51"/>
        <v>238333.33333333334</v>
      </c>
      <c r="AC188" s="25">
        <f t="shared" si="51"/>
        <v>238333.33333333334</v>
      </c>
      <c r="AD188" s="25">
        <f t="shared" si="51"/>
        <v>238333.33333333334</v>
      </c>
      <c r="AE188" s="25">
        <f t="shared" si="51"/>
        <v>238333.33333333334</v>
      </c>
      <c r="AF188" s="25">
        <f t="shared" si="51"/>
        <v>476666.66666666674</v>
      </c>
      <c r="AG188" s="25">
        <f t="shared" si="51"/>
        <v>476666.66666666674</v>
      </c>
      <c r="AH188" s="25">
        <f t="shared" si="51"/>
        <v>476666.66666666674</v>
      </c>
      <c r="AI188" s="25">
        <f t="shared" si="51"/>
        <v>476666.66666666674</v>
      </c>
      <c r="AJ188" s="25">
        <f t="shared" si="51"/>
        <v>476666.66666666674</v>
      </c>
      <c r="AK188" s="25">
        <f t="shared" si="51"/>
        <v>476666.66666666674</v>
      </c>
      <c r="AL188" s="25">
        <f t="shared" si="51"/>
        <v>476666.66666666674</v>
      </c>
      <c r="AM188" s="25">
        <f t="shared" si="51"/>
        <v>476666.66666666674</v>
      </c>
      <c r="AN188" s="25">
        <f t="shared" si="51"/>
        <v>476666.66666666674</v>
      </c>
      <c r="AO188" s="25">
        <f t="shared" si="51"/>
        <v>476666.66666666674</v>
      </c>
      <c r="AP188" s="25">
        <f t="shared" si="51"/>
        <v>476666.66666666674</v>
      </c>
      <c r="AQ188" s="25">
        <f t="shared" si="51"/>
        <v>476666.66666666674</v>
      </c>
      <c r="AR188" s="25">
        <f t="shared" si="51"/>
        <v>762666.66666666651</v>
      </c>
      <c r="AS188" s="25">
        <f t="shared" si="51"/>
        <v>762666.66666666651</v>
      </c>
      <c r="AT188" s="25">
        <f t="shared" si="51"/>
        <v>762666.66666666651</v>
      </c>
      <c r="AU188" s="25">
        <f t="shared" si="51"/>
        <v>762666.66666666651</v>
      </c>
      <c r="AV188" s="25">
        <f t="shared" si="51"/>
        <v>762666.66666666651</v>
      </c>
      <c r="AW188" s="25">
        <f t="shared" si="51"/>
        <v>762666.66666666651</v>
      </c>
      <c r="AX188" s="25">
        <f t="shared" si="51"/>
        <v>762666.66666666651</v>
      </c>
      <c r="AY188" s="25">
        <f t="shared" si="51"/>
        <v>762666.66666666651</v>
      </c>
      <c r="AZ188" s="25">
        <f t="shared" si="51"/>
        <v>762666.66666666651</v>
      </c>
      <c r="BA188" s="25">
        <f t="shared" si="51"/>
        <v>762666.66666666651</v>
      </c>
      <c r="BB188" s="25">
        <f t="shared" si="51"/>
        <v>762666.66666666651</v>
      </c>
      <c r="BC188" s="25">
        <f t="shared" si="51"/>
        <v>762666.66666666651</v>
      </c>
      <c r="BD188" s="25">
        <f t="shared" si="51"/>
        <v>1096333.3333333333</v>
      </c>
      <c r="BE188" s="25">
        <f t="shared" si="51"/>
        <v>1096333.3333333333</v>
      </c>
      <c r="BF188" s="25">
        <f t="shared" si="51"/>
        <v>1096333.3333333333</v>
      </c>
      <c r="BG188" s="25">
        <f t="shared" si="51"/>
        <v>1096333.3333333333</v>
      </c>
      <c r="BH188" s="25">
        <f t="shared" si="51"/>
        <v>1096333.3333333333</v>
      </c>
      <c r="BI188" s="25">
        <f t="shared" si="51"/>
        <v>1096333.3333333333</v>
      </c>
      <c r="BJ188" s="25">
        <f t="shared" si="51"/>
        <v>1096333.3333333333</v>
      </c>
      <c r="BK188" s="25">
        <f t="shared" si="51"/>
        <v>1096333.3333333333</v>
      </c>
      <c r="BL188" s="25">
        <f t="shared" si="51"/>
        <v>1096333.3333333333</v>
      </c>
      <c r="BM188" s="25">
        <f t="shared" si="51"/>
        <v>1096333.3333333333</v>
      </c>
      <c r="BN188" s="25">
        <f t="shared" si="51"/>
        <v>1096333.3333333333</v>
      </c>
      <c r="BO188" s="25">
        <f t="shared" si="51"/>
        <v>1096333.3333333333</v>
      </c>
    </row>
    <row r="189" spans="1:67" x14ac:dyDescent="0.25">
      <c r="A189" s="226"/>
      <c r="B189" s="202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</row>
    <row r="190" spans="1:67" x14ac:dyDescent="0.25">
      <c r="A190" s="226" t="str">
        <f>A82</f>
        <v>Rahul - iOS Developer</v>
      </c>
      <c r="B190" s="202"/>
      <c r="D190" s="223">
        <f>D82</f>
        <v>0</v>
      </c>
      <c r="E190" s="223">
        <f t="shared" ref="E190:BO191" si="52">E82</f>
        <v>0</v>
      </c>
      <c r="F190" s="223">
        <f t="shared" si="52"/>
        <v>0</v>
      </c>
      <c r="G190" s="223">
        <f t="shared" si="52"/>
        <v>0</v>
      </c>
      <c r="H190" s="51">
        <f t="shared" si="52"/>
        <v>5000</v>
      </c>
      <c r="I190" s="51">
        <f t="shared" si="52"/>
        <v>5000</v>
      </c>
      <c r="J190" s="51">
        <f t="shared" si="52"/>
        <v>5000</v>
      </c>
      <c r="K190" s="51">
        <f t="shared" si="52"/>
        <v>5000</v>
      </c>
      <c r="L190" s="51">
        <f t="shared" si="52"/>
        <v>5000</v>
      </c>
      <c r="M190" s="51">
        <f t="shared" si="52"/>
        <v>5000</v>
      </c>
      <c r="N190" s="51">
        <f t="shared" si="52"/>
        <v>5000</v>
      </c>
      <c r="O190" s="51">
        <f t="shared" si="52"/>
        <v>5000</v>
      </c>
      <c r="P190" s="51">
        <f t="shared" si="52"/>
        <v>5000</v>
      </c>
      <c r="Q190" s="51">
        <f t="shared" si="52"/>
        <v>5000</v>
      </c>
      <c r="R190" s="51">
        <f t="shared" si="52"/>
        <v>5000</v>
      </c>
      <c r="S190" s="51">
        <f t="shared" si="52"/>
        <v>5000</v>
      </c>
      <c r="T190" s="51">
        <f t="shared" si="52"/>
        <v>25000</v>
      </c>
      <c r="U190" s="51">
        <f t="shared" si="52"/>
        <v>25000</v>
      </c>
      <c r="V190" s="51">
        <f t="shared" si="52"/>
        <v>25000</v>
      </c>
      <c r="W190" s="51">
        <f t="shared" si="52"/>
        <v>25000</v>
      </c>
      <c r="X190" s="51">
        <f t="shared" si="52"/>
        <v>25000</v>
      </c>
      <c r="Y190" s="51">
        <f t="shared" si="52"/>
        <v>25000</v>
      </c>
      <c r="Z190" s="51">
        <f t="shared" si="52"/>
        <v>25000</v>
      </c>
      <c r="AA190" s="51">
        <f t="shared" si="52"/>
        <v>25000</v>
      </c>
      <c r="AB190" s="51">
        <f t="shared" si="52"/>
        <v>25000</v>
      </c>
      <c r="AC190" s="51">
        <f t="shared" si="52"/>
        <v>25000</v>
      </c>
      <c r="AD190" s="51">
        <f t="shared" si="52"/>
        <v>25000</v>
      </c>
      <c r="AE190" s="51">
        <f t="shared" si="52"/>
        <v>25000</v>
      </c>
      <c r="AF190" s="51">
        <f t="shared" si="52"/>
        <v>50000</v>
      </c>
      <c r="AG190" s="51">
        <f t="shared" si="52"/>
        <v>50000</v>
      </c>
      <c r="AH190" s="51">
        <f t="shared" si="52"/>
        <v>50000</v>
      </c>
      <c r="AI190" s="51">
        <f t="shared" si="52"/>
        <v>50000</v>
      </c>
      <c r="AJ190" s="51">
        <f t="shared" si="52"/>
        <v>50000</v>
      </c>
      <c r="AK190" s="51">
        <f t="shared" si="52"/>
        <v>50000</v>
      </c>
      <c r="AL190" s="51">
        <f t="shared" si="52"/>
        <v>50000</v>
      </c>
      <c r="AM190" s="51">
        <f t="shared" si="52"/>
        <v>50000</v>
      </c>
      <c r="AN190" s="51">
        <f t="shared" si="52"/>
        <v>50000</v>
      </c>
      <c r="AO190" s="51">
        <f t="shared" si="52"/>
        <v>50000</v>
      </c>
      <c r="AP190" s="51">
        <f t="shared" si="52"/>
        <v>50000</v>
      </c>
      <c r="AQ190" s="51">
        <f t="shared" si="52"/>
        <v>50000</v>
      </c>
      <c r="AR190" s="51">
        <f t="shared" si="52"/>
        <v>80000</v>
      </c>
      <c r="AS190" s="51">
        <f t="shared" si="52"/>
        <v>80000</v>
      </c>
      <c r="AT190" s="51">
        <f t="shared" si="52"/>
        <v>80000</v>
      </c>
      <c r="AU190" s="51">
        <f t="shared" si="52"/>
        <v>80000</v>
      </c>
      <c r="AV190" s="51">
        <f t="shared" si="52"/>
        <v>80000</v>
      </c>
      <c r="AW190" s="51">
        <f t="shared" si="52"/>
        <v>80000</v>
      </c>
      <c r="AX190" s="51">
        <f t="shared" si="52"/>
        <v>80000</v>
      </c>
      <c r="AY190" s="51">
        <f t="shared" si="52"/>
        <v>80000</v>
      </c>
      <c r="AZ190" s="51">
        <f t="shared" si="52"/>
        <v>80000</v>
      </c>
      <c r="BA190" s="51">
        <f t="shared" si="52"/>
        <v>80000</v>
      </c>
      <c r="BB190" s="51">
        <f t="shared" si="52"/>
        <v>80000</v>
      </c>
      <c r="BC190" s="51">
        <f t="shared" si="52"/>
        <v>80000</v>
      </c>
      <c r="BD190" s="51">
        <f t="shared" si="52"/>
        <v>115000</v>
      </c>
      <c r="BE190" s="51">
        <f t="shared" si="52"/>
        <v>115000</v>
      </c>
      <c r="BF190" s="51">
        <f t="shared" si="52"/>
        <v>115000</v>
      </c>
      <c r="BG190" s="51">
        <f t="shared" si="52"/>
        <v>115000</v>
      </c>
      <c r="BH190" s="51">
        <f t="shared" si="52"/>
        <v>115000</v>
      </c>
      <c r="BI190" s="51">
        <f t="shared" si="52"/>
        <v>115000</v>
      </c>
      <c r="BJ190" s="51">
        <f t="shared" si="52"/>
        <v>115000</v>
      </c>
      <c r="BK190" s="51">
        <f t="shared" si="52"/>
        <v>115000</v>
      </c>
      <c r="BL190" s="51">
        <f t="shared" si="52"/>
        <v>115000</v>
      </c>
      <c r="BM190" s="51">
        <f t="shared" si="52"/>
        <v>115000</v>
      </c>
      <c r="BN190" s="51">
        <f t="shared" si="52"/>
        <v>115000</v>
      </c>
      <c r="BO190" s="51">
        <f t="shared" si="52"/>
        <v>115000</v>
      </c>
    </row>
    <row r="191" spans="1:67" x14ac:dyDescent="0.25">
      <c r="A191" s="226" t="str">
        <f>A83</f>
        <v>Developers</v>
      </c>
      <c r="B191" s="202"/>
      <c r="D191" s="223">
        <f>D83</f>
        <v>0</v>
      </c>
      <c r="E191" s="223">
        <f t="shared" si="52"/>
        <v>0</v>
      </c>
      <c r="F191" s="223">
        <f t="shared" si="52"/>
        <v>0</v>
      </c>
      <c r="G191" s="223">
        <f t="shared" si="52"/>
        <v>0</v>
      </c>
      <c r="H191" s="51">
        <f t="shared" si="52"/>
        <v>5000</v>
      </c>
      <c r="I191" s="51">
        <f t="shared" si="52"/>
        <v>5000</v>
      </c>
      <c r="J191" s="51">
        <f t="shared" si="52"/>
        <v>5000</v>
      </c>
      <c r="K191" s="51">
        <f t="shared" si="52"/>
        <v>5000</v>
      </c>
      <c r="L191" s="51">
        <f t="shared" si="52"/>
        <v>5000</v>
      </c>
      <c r="M191" s="51">
        <f t="shared" si="52"/>
        <v>5000</v>
      </c>
      <c r="N191" s="51">
        <f t="shared" si="52"/>
        <v>5000</v>
      </c>
      <c r="O191" s="51">
        <f t="shared" si="52"/>
        <v>5000</v>
      </c>
      <c r="P191" s="51">
        <f t="shared" si="52"/>
        <v>5000</v>
      </c>
      <c r="Q191" s="51">
        <f t="shared" si="52"/>
        <v>5000</v>
      </c>
      <c r="R191" s="51">
        <f t="shared" si="52"/>
        <v>5000</v>
      </c>
      <c r="S191" s="51">
        <f t="shared" si="52"/>
        <v>5000</v>
      </c>
      <c r="T191" s="51">
        <f t="shared" si="52"/>
        <v>25000</v>
      </c>
      <c r="U191" s="51">
        <f t="shared" si="52"/>
        <v>25000</v>
      </c>
      <c r="V191" s="51">
        <f t="shared" si="52"/>
        <v>25000</v>
      </c>
      <c r="W191" s="51">
        <f t="shared" si="52"/>
        <v>25000</v>
      </c>
      <c r="X191" s="51">
        <f t="shared" si="52"/>
        <v>25000</v>
      </c>
      <c r="Y191" s="51">
        <f t="shared" si="52"/>
        <v>25000</v>
      </c>
      <c r="Z191" s="51">
        <f t="shared" si="52"/>
        <v>25000</v>
      </c>
      <c r="AA191" s="51">
        <f t="shared" si="52"/>
        <v>25000</v>
      </c>
      <c r="AB191" s="51">
        <f t="shared" si="52"/>
        <v>25000</v>
      </c>
      <c r="AC191" s="51">
        <f t="shared" si="52"/>
        <v>25000</v>
      </c>
      <c r="AD191" s="51">
        <f t="shared" si="52"/>
        <v>25000</v>
      </c>
      <c r="AE191" s="51">
        <f t="shared" si="52"/>
        <v>25000</v>
      </c>
      <c r="AF191" s="51">
        <f t="shared" si="52"/>
        <v>50000</v>
      </c>
      <c r="AG191" s="51">
        <f t="shared" si="52"/>
        <v>50000</v>
      </c>
      <c r="AH191" s="51">
        <f t="shared" si="52"/>
        <v>50000</v>
      </c>
      <c r="AI191" s="51">
        <f t="shared" si="52"/>
        <v>50000</v>
      </c>
      <c r="AJ191" s="51">
        <f t="shared" si="52"/>
        <v>50000</v>
      </c>
      <c r="AK191" s="51">
        <f t="shared" si="52"/>
        <v>50000</v>
      </c>
      <c r="AL191" s="51">
        <f t="shared" si="52"/>
        <v>50000</v>
      </c>
      <c r="AM191" s="51">
        <f t="shared" si="52"/>
        <v>50000</v>
      </c>
      <c r="AN191" s="51">
        <f t="shared" si="52"/>
        <v>50000</v>
      </c>
      <c r="AO191" s="51">
        <f t="shared" si="52"/>
        <v>50000</v>
      </c>
      <c r="AP191" s="51">
        <f t="shared" si="52"/>
        <v>50000</v>
      </c>
      <c r="AQ191" s="51">
        <f t="shared" si="52"/>
        <v>50000</v>
      </c>
      <c r="AR191" s="51">
        <f t="shared" si="52"/>
        <v>80000</v>
      </c>
      <c r="AS191" s="51">
        <f t="shared" si="52"/>
        <v>80000</v>
      </c>
      <c r="AT191" s="51">
        <f t="shared" si="52"/>
        <v>80000</v>
      </c>
      <c r="AU191" s="51">
        <f t="shared" si="52"/>
        <v>80000</v>
      </c>
      <c r="AV191" s="51">
        <f t="shared" si="52"/>
        <v>80000</v>
      </c>
      <c r="AW191" s="51">
        <f t="shared" si="52"/>
        <v>80000</v>
      </c>
      <c r="AX191" s="51">
        <f t="shared" si="52"/>
        <v>80000</v>
      </c>
      <c r="AY191" s="51">
        <f t="shared" si="52"/>
        <v>80000</v>
      </c>
      <c r="AZ191" s="51">
        <f t="shared" si="52"/>
        <v>80000</v>
      </c>
      <c r="BA191" s="51">
        <f t="shared" si="52"/>
        <v>80000</v>
      </c>
      <c r="BB191" s="51">
        <f t="shared" si="52"/>
        <v>80000</v>
      </c>
      <c r="BC191" s="51">
        <f t="shared" si="52"/>
        <v>80000</v>
      </c>
      <c r="BD191" s="51">
        <f t="shared" si="52"/>
        <v>115000</v>
      </c>
      <c r="BE191" s="51">
        <f t="shared" si="52"/>
        <v>115000</v>
      </c>
      <c r="BF191" s="51">
        <f t="shared" si="52"/>
        <v>115000</v>
      </c>
      <c r="BG191" s="51">
        <f t="shared" si="52"/>
        <v>115000</v>
      </c>
      <c r="BH191" s="51">
        <f t="shared" si="52"/>
        <v>115000</v>
      </c>
      <c r="BI191" s="51">
        <f t="shared" si="52"/>
        <v>115000</v>
      </c>
      <c r="BJ191" s="51">
        <f t="shared" si="52"/>
        <v>115000</v>
      </c>
      <c r="BK191" s="51">
        <f t="shared" si="52"/>
        <v>115000</v>
      </c>
      <c r="BL191" s="51">
        <f t="shared" si="52"/>
        <v>115000</v>
      </c>
      <c r="BM191" s="51">
        <f t="shared" si="52"/>
        <v>115000</v>
      </c>
      <c r="BN191" s="51">
        <f t="shared" si="52"/>
        <v>115000</v>
      </c>
      <c r="BO191" s="51">
        <f t="shared" si="52"/>
        <v>115000</v>
      </c>
    </row>
    <row r="192" spans="1:67" s="25" customFormat="1" x14ac:dyDescent="0.25">
      <c r="A192" s="25" t="s">
        <v>243</v>
      </c>
      <c r="B192" s="202">
        <f>MAX(D192:AQ192)</f>
        <v>100000</v>
      </c>
      <c r="D192" s="25">
        <f>SUM(D190:D191)</f>
        <v>0</v>
      </c>
      <c r="E192" s="25">
        <f t="shared" ref="E192:BO192" si="53">SUM(E190:E191)</f>
        <v>0</v>
      </c>
      <c r="F192" s="25">
        <f t="shared" si="53"/>
        <v>0</v>
      </c>
      <c r="G192" s="25">
        <f t="shared" si="53"/>
        <v>0</v>
      </c>
      <c r="H192" s="25">
        <f t="shared" si="53"/>
        <v>10000</v>
      </c>
      <c r="I192" s="25">
        <f t="shared" si="53"/>
        <v>10000</v>
      </c>
      <c r="J192" s="25">
        <f t="shared" si="53"/>
        <v>10000</v>
      </c>
      <c r="K192" s="25">
        <f t="shared" si="53"/>
        <v>10000</v>
      </c>
      <c r="L192" s="25">
        <f t="shared" si="53"/>
        <v>10000</v>
      </c>
      <c r="M192" s="25">
        <f t="shared" si="53"/>
        <v>10000</v>
      </c>
      <c r="N192" s="25">
        <f t="shared" si="53"/>
        <v>10000</v>
      </c>
      <c r="O192" s="25">
        <f t="shared" si="53"/>
        <v>10000</v>
      </c>
      <c r="P192" s="25">
        <f t="shared" si="53"/>
        <v>10000</v>
      </c>
      <c r="Q192" s="25">
        <f t="shared" si="53"/>
        <v>10000</v>
      </c>
      <c r="R192" s="25">
        <f t="shared" si="53"/>
        <v>10000</v>
      </c>
      <c r="S192" s="25">
        <f t="shared" si="53"/>
        <v>10000</v>
      </c>
      <c r="T192" s="25">
        <f t="shared" si="53"/>
        <v>50000</v>
      </c>
      <c r="U192" s="25">
        <f t="shared" si="53"/>
        <v>50000</v>
      </c>
      <c r="V192" s="25">
        <f t="shared" si="53"/>
        <v>50000</v>
      </c>
      <c r="W192" s="25">
        <f t="shared" si="53"/>
        <v>50000</v>
      </c>
      <c r="X192" s="25">
        <f t="shared" si="53"/>
        <v>50000</v>
      </c>
      <c r="Y192" s="25">
        <f t="shared" si="53"/>
        <v>50000</v>
      </c>
      <c r="Z192" s="25">
        <f t="shared" si="53"/>
        <v>50000</v>
      </c>
      <c r="AA192" s="25">
        <f t="shared" si="53"/>
        <v>50000</v>
      </c>
      <c r="AB192" s="25">
        <f t="shared" si="53"/>
        <v>50000</v>
      </c>
      <c r="AC192" s="25">
        <f t="shared" si="53"/>
        <v>50000</v>
      </c>
      <c r="AD192" s="25">
        <f t="shared" si="53"/>
        <v>50000</v>
      </c>
      <c r="AE192" s="25">
        <f t="shared" si="53"/>
        <v>50000</v>
      </c>
      <c r="AF192" s="25">
        <f t="shared" si="53"/>
        <v>100000</v>
      </c>
      <c r="AG192" s="25">
        <f t="shared" si="53"/>
        <v>100000</v>
      </c>
      <c r="AH192" s="25">
        <f t="shared" si="53"/>
        <v>100000</v>
      </c>
      <c r="AI192" s="25">
        <f t="shared" si="53"/>
        <v>100000</v>
      </c>
      <c r="AJ192" s="25">
        <f t="shared" si="53"/>
        <v>100000</v>
      </c>
      <c r="AK192" s="25">
        <f t="shared" si="53"/>
        <v>100000</v>
      </c>
      <c r="AL192" s="25">
        <f t="shared" si="53"/>
        <v>100000</v>
      </c>
      <c r="AM192" s="25">
        <f t="shared" si="53"/>
        <v>100000</v>
      </c>
      <c r="AN192" s="25">
        <f t="shared" si="53"/>
        <v>100000</v>
      </c>
      <c r="AO192" s="25">
        <f t="shared" si="53"/>
        <v>100000</v>
      </c>
      <c r="AP192" s="25">
        <f t="shared" si="53"/>
        <v>100000</v>
      </c>
      <c r="AQ192" s="25">
        <f t="shared" si="53"/>
        <v>100000</v>
      </c>
      <c r="AR192" s="25">
        <f t="shared" si="53"/>
        <v>160000</v>
      </c>
      <c r="AS192" s="25">
        <f t="shared" si="53"/>
        <v>160000</v>
      </c>
      <c r="AT192" s="25">
        <f t="shared" si="53"/>
        <v>160000</v>
      </c>
      <c r="AU192" s="25">
        <f t="shared" si="53"/>
        <v>160000</v>
      </c>
      <c r="AV192" s="25">
        <f t="shared" si="53"/>
        <v>160000</v>
      </c>
      <c r="AW192" s="25">
        <f t="shared" si="53"/>
        <v>160000</v>
      </c>
      <c r="AX192" s="25">
        <f t="shared" si="53"/>
        <v>160000</v>
      </c>
      <c r="AY192" s="25">
        <f t="shared" si="53"/>
        <v>160000</v>
      </c>
      <c r="AZ192" s="25">
        <f t="shared" si="53"/>
        <v>160000</v>
      </c>
      <c r="BA192" s="25">
        <f t="shared" si="53"/>
        <v>160000</v>
      </c>
      <c r="BB192" s="25">
        <f t="shared" si="53"/>
        <v>160000</v>
      </c>
      <c r="BC192" s="25">
        <f t="shared" si="53"/>
        <v>160000</v>
      </c>
      <c r="BD192" s="25">
        <f t="shared" si="53"/>
        <v>230000</v>
      </c>
      <c r="BE192" s="25">
        <f t="shared" si="53"/>
        <v>230000</v>
      </c>
      <c r="BF192" s="25">
        <f t="shared" si="53"/>
        <v>230000</v>
      </c>
      <c r="BG192" s="25">
        <f t="shared" si="53"/>
        <v>230000</v>
      </c>
      <c r="BH192" s="25">
        <f t="shared" si="53"/>
        <v>230000</v>
      </c>
      <c r="BI192" s="25">
        <f t="shared" si="53"/>
        <v>230000</v>
      </c>
      <c r="BJ192" s="25">
        <f t="shared" si="53"/>
        <v>230000</v>
      </c>
      <c r="BK192" s="25">
        <f t="shared" si="53"/>
        <v>230000</v>
      </c>
      <c r="BL192" s="25">
        <f t="shared" si="53"/>
        <v>230000</v>
      </c>
      <c r="BM192" s="25">
        <f t="shared" si="53"/>
        <v>230000</v>
      </c>
      <c r="BN192" s="25">
        <f t="shared" si="53"/>
        <v>230000</v>
      </c>
      <c r="BO192" s="25">
        <f t="shared" si="53"/>
        <v>230000</v>
      </c>
    </row>
    <row r="193" spans="1:67" x14ac:dyDescent="0.25">
      <c r="A193" s="41"/>
      <c r="B193" s="202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</row>
    <row r="194" spans="1:67" x14ac:dyDescent="0.25">
      <c r="A194" s="226" t="str">
        <f>A91</f>
        <v xml:space="preserve">Security </v>
      </c>
      <c r="B194" s="202"/>
      <c r="D194" s="223">
        <f>D91</f>
        <v>800</v>
      </c>
      <c r="E194" s="223">
        <f t="shared" ref="E194:BO195" si="54">E91</f>
        <v>800</v>
      </c>
      <c r="F194" s="223">
        <f t="shared" si="54"/>
        <v>800</v>
      </c>
      <c r="G194" s="223">
        <f t="shared" si="54"/>
        <v>800</v>
      </c>
      <c r="H194" s="51">
        <f t="shared" si="54"/>
        <v>4166.666666666667</v>
      </c>
      <c r="I194" s="51">
        <f t="shared" si="54"/>
        <v>4166.666666666667</v>
      </c>
      <c r="J194" s="51">
        <f t="shared" si="54"/>
        <v>4166.666666666667</v>
      </c>
      <c r="K194" s="51">
        <f t="shared" si="54"/>
        <v>4166.666666666667</v>
      </c>
      <c r="L194" s="51">
        <f t="shared" si="54"/>
        <v>4166.666666666667</v>
      </c>
      <c r="M194" s="51">
        <f t="shared" si="54"/>
        <v>4166.666666666667</v>
      </c>
      <c r="N194" s="51">
        <f t="shared" si="54"/>
        <v>4166.666666666667</v>
      </c>
      <c r="O194" s="51">
        <f t="shared" si="54"/>
        <v>4166.666666666667</v>
      </c>
      <c r="P194" s="51">
        <f t="shared" si="54"/>
        <v>4166.666666666667</v>
      </c>
      <c r="Q194" s="51">
        <f t="shared" si="54"/>
        <v>4166.666666666667</v>
      </c>
      <c r="R194" s="51">
        <f t="shared" si="54"/>
        <v>4166.666666666667</v>
      </c>
      <c r="S194" s="51">
        <f t="shared" si="54"/>
        <v>4166.666666666667</v>
      </c>
      <c r="T194" s="51">
        <f t="shared" si="54"/>
        <v>20833.333333333336</v>
      </c>
      <c r="U194" s="51">
        <f t="shared" si="54"/>
        <v>20833.333333333336</v>
      </c>
      <c r="V194" s="51">
        <f t="shared" si="54"/>
        <v>20833.333333333336</v>
      </c>
      <c r="W194" s="51">
        <f t="shared" si="54"/>
        <v>20833.333333333336</v>
      </c>
      <c r="X194" s="51">
        <f t="shared" si="54"/>
        <v>20833.333333333336</v>
      </c>
      <c r="Y194" s="51">
        <f t="shared" si="54"/>
        <v>20833.333333333336</v>
      </c>
      <c r="Z194" s="51">
        <f t="shared" si="54"/>
        <v>20833.333333333336</v>
      </c>
      <c r="AA194" s="51">
        <f t="shared" si="54"/>
        <v>20833.333333333336</v>
      </c>
      <c r="AB194" s="51">
        <f t="shared" si="54"/>
        <v>20833.333333333336</v>
      </c>
      <c r="AC194" s="51">
        <f t="shared" si="54"/>
        <v>20833.333333333336</v>
      </c>
      <c r="AD194" s="51">
        <f t="shared" si="54"/>
        <v>20833.333333333336</v>
      </c>
      <c r="AE194" s="51">
        <f t="shared" si="54"/>
        <v>20833.333333333336</v>
      </c>
      <c r="AF194" s="51">
        <f t="shared" si="54"/>
        <v>41666.666666666664</v>
      </c>
      <c r="AG194" s="51">
        <f t="shared" si="54"/>
        <v>41666.666666666664</v>
      </c>
      <c r="AH194" s="51">
        <f t="shared" si="54"/>
        <v>41666.666666666664</v>
      </c>
      <c r="AI194" s="51">
        <f t="shared" si="54"/>
        <v>41666.666666666664</v>
      </c>
      <c r="AJ194" s="51">
        <f t="shared" si="54"/>
        <v>41666.666666666664</v>
      </c>
      <c r="AK194" s="51">
        <f t="shared" si="54"/>
        <v>41666.666666666664</v>
      </c>
      <c r="AL194" s="51">
        <f t="shared" si="54"/>
        <v>41666.666666666664</v>
      </c>
      <c r="AM194" s="51">
        <f t="shared" si="54"/>
        <v>41666.666666666664</v>
      </c>
      <c r="AN194" s="51">
        <f t="shared" si="54"/>
        <v>41666.666666666664</v>
      </c>
      <c r="AO194" s="51">
        <f t="shared" si="54"/>
        <v>41666.666666666664</v>
      </c>
      <c r="AP194" s="51">
        <f t="shared" si="54"/>
        <v>41666.666666666664</v>
      </c>
      <c r="AQ194" s="51">
        <f t="shared" si="54"/>
        <v>41666.666666666664</v>
      </c>
      <c r="AR194" s="51">
        <f t="shared" si="54"/>
        <v>66666.666666666672</v>
      </c>
      <c r="AS194" s="51">
        <f t="shared" si="54"/>
        <v>66666.666666666672</v>
      </c>
      <c r="AT194" s="51">
        <f t="shared" si="54"/>
        <v>66666.666666666672</v>
      </c>
      <c r="AU194" s="51">
        <f t="shared" si="54"/>
        <v>66666.666666666672</v>
      </c>
      <c r="AV194" s="51">
        <f t="shared" si="54"/>
        <v>66666.666666666672</v>
      </c>
      <c r="AW194" s="51">
        <f t="shared" si="54"/>
        <v>66666.666666666672</v>
      </c>
      <c r="AX194" s="51">
        <f t="shared" si="54"/>
        <v>66666.666666666672</v>
      </c>
      <c r="AY194" s="51">
        <f t="shared" si="54"/>
        <v>66666.666666666672</v>
      </c>
      <c r="AZ194" s="51">
        <f t="shared" si="54"/>
        <v>66666.666666666672</v>
      </c>
      <c r="BA194" s="51">
        <f t="shared" si="54"/>
        <v>66666.666666666672</v>
      </c>
      <c r="BB194" s="51">
        <f t="shared" si="54"/>
        <v>66666.666666666672</v>
      </c>
      <c r="BC194" s="51">
        <f t="shared" si="54"/>
        <v>66666.666666666672</v>
      </c>
      <c r="BD194" s="51">
        <f t="shared" si="54"/>
        <v>95833.333333333343</v>
      </c>
      <c r="BE194" s="51">
        <f t="shared" si="54"/>
        <v>95833.333333333343</v>
      </c>
      <c r="BF194" s="51">
        <f t="shared" si="54"/>
        <v>95833.333333333343</v>
      </c>
      <c r="BG194" s="51">
        <f t="shared" si="54"/>
        <v>95833.333333333343</v>
      </c>
      <c r="BH194" s="51">
        <f t="shared" si="54"/>
        <v>95833.333333333343</v>
      </c>
      <c r="BI194" s="51">
        <f t="shared" si="54"/>
        <v>95833.333333333343</v>
      </c>
      <c r="BJ194" s="51">
        <f t="shared" si="54"/>
        <v>95833.333333333343</v>
      </c>
      <c r="BK194" s="51">
        <f t="shared" si="54"/>
        <v>95833.333333333343</v>
      </c>
      <c r="BL194" s="51">
        <f t="shared" si="54"/>
        <v>95833.333333333343</v>
      </c>
      <c r="BM194" s="51">
        <f t="shared" si="54"/>
        <v>95833.333333333343</v>
      </c>
      <c r="BN194" s="51">
        <f t="shared" si="54"/>
        <v>95833.333333333343</v>
      </c>
      <c r="BO194" s="51">
        <f t="shared" si="54"/>
        <v>95833.333333333343</v>
      </c>
    </row>
    <row r="195" spans="1:67" x14ac:dyDescent="0.25">
      <c r="A195" s="226" t="str">
        <f>A92</f>
        <v>AWS</v>
      </c>
      <c r="B195" s="202"/>
      <c r="D195" s="223">
        <f>D92</f>
        <v>100</v>
      </c>
      <c r="E195" s="223">
        <f t="shared" si="54"/>
        <v>100</v>
      </c>
      <c r="F195" s="223">
        <f t="shared" si="54"/>
        <v>100</v>
      </c>
      <c r="G195" s="223">
        <f t="shared" si="54"/>
        <v>100</v>
      </c>
      <c r="H195" s="51">
        <f t="shared" si="54"/>
        <v>4000</v>
      </c>
      <c r="I195" s="51">
        <f t="shared" si="54"/>
        <v>4000</v>
      </c>
      <c r="J195" s="51">
        <f t="shared" si="54"/>
        <v>4000</v>
      </c>
      <c r="K195" s="51">
        <f t="shared" si="54"/>
        <v>4000</v>
      </c>
      <c r="L195" s="51">
        <f t="shared" si="54"/>
        <v>4000</v>
      </c>
      <c r="M195" s="51">
        <f t="shared" si="54"/>
        <v>4000</v>
      </c>
      <c r="N195" s="51">
        <f t="shared" si="54"/>
        <v>4000</v>
      </c>
      <c r="O195" s="51">
        <f t="shared" si="54"/>
        <v>4000</v>
      </c>
      <c r="P195" s="51">
        <f t="shared" si="54"/>
        <v>4000</v>
      </c>
      <c r="Q195" s="51">
        <f t="shared" si="54"/>
        <v>4000</v>
      </c>
      <c r="R195" s="51">
        <f t="shared" si="54"/>
        <v>4000</v>
      </c>
      <c r="S195" s="51">
        <f t="shared" si="54"/>
        <v>4000</v>
      </c>
      <c r="T195" s="51">
        <f t="shared" si="54"/>
        <v>20000</v>
      </c>
      <c r="U195" s="51">
        <f t="shared" si="54"/>
        <v>20000</v>
      </c>
      <c r="V195" s="51">
        <f t="shared" si="54"/>
        <v>20000</v>
      </c>
      <c r="W195" s="51">
        <f t="shared" si="54"/>
        <v>20000</v>
      </c>
      <c r="X195" s="51">
        <f t="shared" si="54"/>
        <v>20000</v>
      </c>
      <c r="Y195" s="51">
        <f t="shared" si="54"/>
        <v>20000</v>
      </c>
      <c r="Z195" s="51">
        <f t="shared" si="54"/>
        <v>20000</v>
      </c>
      <c r="AA195" s="51">
        <f t="shared" si="54"/>
        <v>20000</v>
      </c>
      <c r="AB195" s="51">
        <f t="shared" si="54"/>
        <v>20000</v>
      </c>
      <c r="AC195" s="51">
        <f t="shared" si="54"/>
        <v>20000</v>
      </c>
      <c r="AD195" s="51">
        <f t="shared" si="54"/>
        <v>20000</v>
      </c>
      <c r="AE195" s="51">
        <f t="shared" si="54"/>
        <v>20000</v>
      </c>
      <c r="AF195" s="51">
        <f t="shared" si="54"/>
        <v>40000</v>
      </c>
      <c r="AG195" s="51">
        <f t="shared" si="54"/>
        <v>40000</v>
      </c>
      <c r="AH195" s="51">
        <f t="shared" si="54"/>
        <v>40000</v>
      </c>
      <c r="AI195" s="51">
        <f t="shared" si="54"/>
        <v>40000</v>
      </c>
      <c r="AJ195" s="51">
        <f t="shared" si="54"/>
        <v>40000</v>
      </c>
      <c r="AK195" s="51">
        <f t="shared" si="54"/>
        <v>40000</v>
      </c>
      <c r="AL195" s="51">
        <f t="shared" si="54"/>
        <v>40000</v>
      </c>
      <c r="AM195" s="51">
        <f t="shared" si="54"/>
        <v>40000</v>
      </c>
      <c r="AN195" s="51">
        <f t="shared" si="54"/>
        <v>40000</v>
      </c>
      <c r="AO195" s="51">
        <f t="shared" si="54"/>
        <v>40000</v>
      </c>
      <c r="AP195" s="51">
        <f t="shared" si="54"/>
        <v>40000</v>
      </c>
      <c r="AQ195" s="51">
        <f t="shared" si="54"/>
        <v>40000</v>
      </c>
      <c r="AR195" s="51">
        <f t="shared" si="54"/>
        <v>64000</v>
      </c>
      <c r="AS195" s="51">
        <f t="shared" si="54"/>
        <v>64000</v>
      </c>
      <c r="AT195" s="51">
        <f t="shared" si="54"/>
        <v>64000</v>
      </c>
      <c r="AU195" s="51">
        <f t="shared" si="54"/>
        <v>64000</v>
      </c>
      <c r="AV195" s="51">
        <f t="shared" si="54"/>
        <v>64000</v>
      </c>
      <c r="AW195" s="51">
        <f t="shared" si="54"/>
        <v>64000</v>
      </c>
      <c r="AX195" s="51">
        <f t="shared" si="54"/>
        <v>64000</v>
      </c>
      <c r="AY195" s="51">
        <f t="shared" si="54"/>
        <v>64000</v>
      </c>
      <c r="AZ195" s="51">
        <f t="shared" si="54"/>
        <v>64000</v>
      </c>
      <c r="BA195" s="51">
        <f t="shared" si="54"/>
        <v>64000</v>
      </c>
      <c r="BB195" s="51">
        <f t="shared" si="54"/>
        <v>64000</v>
      </c>
      <c r="BC195" s="51">
        <f t="shared" si="54"/>
        <v>64000</v>
      </c>
      <c r="BD195" s="51">
        <f t="shared" si="54"/>
        <v>92000</v>
      </c>
      <c r="BE195" s="51">
        <f t="shared" si="54"/>
        <v>92000</v>
      </c>
      <c r="BF195" s="51">
        <f t="shared" si="54"/>
        <v>92000</v>
      </c>
      <c r="BG195" s="51">
        <f t="shared" si="54"/>
        <v>92000</v>
      </c>
      <c r="BH195" s="51">
        <f t="shared" si="54"/>
        <v>92000</v>
      </c>
      <c r="BI195" s="51">
        <f t="shared" si="54"/>
        <v>92000</v>
      </c>
      <c r="BJ195" s="51">
        <f t="shared" si="54"/>
        <v>92000</v>
      </c>
      <c r="BK195" s="51">
        <f t="shared" si="54"/>
        <v>92000</v>
      </c>
      <c r="BL195" s="51">
        <f t="shared" si="54"/>
        <v>92000</v>
      </c>
      <c r="BM195" s="51">
        <f t="shared" si="54"/>
        <v>92000</v>
      </c>
      <c r="BN195" s="51">
        <f t="shared" si="54"/>
        <v>92000</v>
      </c>
      <c r="BO195" s="51">
        <f t="shared" si="54"/>
        <v>92000</v>
      </c>
    </row>
    <row r="196" spans="1:67" s="25" customFormat="1" x14ac:dyDescent="0.25">
      <c r="A196" s="25" t="s">
        <v>243</v>
      </c>
      <c r="B196" s="202">
        <f>MAX(D196:AQ196)</f>
        <v>81666.666666666657</v>
      </c>
      <c r="D196" s="25">
        <f>SUM(D194:D195)</f>
        <v>900</v>
      </c>
      <c r="E196" s="25">
        <f t="shared" ref="E196:BO196" si="55">SUM(E194:E195)</f>
        <v>900</v>
      </c>
      <c r="F196" s="25">
        <f t="shared" si="55"/>
        <v>900</v>
      </c>
      <c r="G196" s="25">
        <f t="shared" si="55"/>
        <v>900</v>
      </c>
      <c r="H196" s="25">
        <f t="shared" si="55"/>
        <v>8166.666666666667</v>
      </c>
      <c r="I196" s="25">
        <f t="shared" si="55"/>
        <v>8166.666666666667</v>
      </c>
      <c r="J196" s="25">
        <f t="shared" si="55"/>
        <v>8166.666666666667</v>
      </c>
      <c r="K196" s="25">
        <f t="shared" si="55"/>
        <v>8166.666666666667</v>
      </c>
      <c r="L196" s="25">
        <f t="shared" si="55"/>
        <v>8166.666666666667</v>
      </c>
      <c r="M196" s="25">
        <f t="shared" si="55"/>
        <v>8166.666666666667</v>
      </c>
      <c r="N196" s="25">
        <f t="shared" si="55"/>
        <v>8166.666666666667</v>
      </c>
      <c r="O196" s="25">
        <f t="shared" si="55"/>
        <v>8166.666666666667</v>
      </c>
      <c r="P196" s="25">
        <f t="shared" si="55"/>
        <v>8166.666666666667</v>
      </c>
      <c r="Q196" s="25">
        <f t="shared" si="55"/>
        <v>8166.666666666667</v>
      </c>
      <c r="R196" s="25">
        <f t="shared" si="55"/>
        <v>8166.666666666667</v>
      </c>
      <c r="S196" s="25">
        <f t="shared" si="55"/>
        <v>8166.666666666667</v>
      </c>
      <c r="T196" s="25">
        <f t="shared" si="55"/>
        <v>40833.333333333336</v>
      </c>
      <c r="U196" s="25">
        <f t="shared" si="55"/>
        <v>40833.333333333336</v>
      </c>
      <c r="V196" s="25">
        <f t="shared" si="55"/>
        <v>40833.333333333336</v>
      </c>
      <c r="W196" s="25">
        <f t="shared" si="55"/>
        <v>40833.333333333336</v>
      </c>
      <c r="X196" s="25">
        <f t="shared" si="55"/>
        <v>40833.333333333336</v>
      </c>
      <c r="Y196" s="25">
        <f t="shared" si="55"/>
        <v>40833.333333333336</v>
      </c>
      <c r="Z196" s="25">
        <f t="shared" si="55"/>
        <v>40833.333333333336</v>
      </c>
      <c r="AA196" s="25">
        <f t="shared" si="55"/>
        <v>40833.333333333336</v>
      </c>
      <c r="AB196" s="25">
        <f t="shared" si="55"/>
        <v>40833.333333333336</v>
      </c>
      <c r="AC196" s="25">
        <f t="shared" si="55"/>
        <v>40833.333333333336</v>
      </c>
      <c r="AD196" s="25">
        <f t="shared" si="55"/>
        <v>40833.333333333336</v>
      </c>
      <c r="AE196" s="25">
        <f t="shared" si="55"/>
        <v>40833.333333333336</v>
      </c>
      <c r="AF196" s="25">
        <f t="shared" si="55"/>
        <v>81666.666666666657</v>
      </c>
      <c r="AG196" s="25">
        <f t="shared" si="55"/>
        <v>81666.666666666657</v>
      </c>
      <c r="AH196" s="25">
        <f t="shared" si="55"/>
        <v>81666.666666666657</v>
      </c>
      <c r="AI196" s="25">
        <f t="shared" si="55"/>
        <v>81666.666666666657</v>
      </c>
      <c r="AJ196" s="25">
        <f t="shared" si="55"/>
        <v>81666.666666666657</v>
      </c>
      <c r="AK196" s="25">
        <f t="shared" si="55"/>
        <v>81666.666666666657</v>
      </c>
      <c r="AL196" s="25">
        <f t="shared" si="55"/>
        <v>81666.666666666657</v>
      </c>
      <c r="AM196" s="25">
        <f t="shared" si="55"/>
        <v>81666.666666666657</v>
      </c>
      <c r="AN196" s="25">
        <f t="shared" si="55"/>
        <v>81666.666666666657</v>
      </c>
      <c r="AO196" s="25">
        <f t="shared" si="55"/>
        <v>81666.666666666657</v>
      </c>
      <c r="AP196" s="25">
        <f t="shared" si="55"/>
        <v>81666.666666666657</v>
      </c>
      <c r="AQ196" s="25">
        <f t="shared" si="55"/>
        <v>81666.666666666657</v>
      </c>
      <c r="AR196" s="25">
        <f t="shared" si="55"/>
        <v>130666.66666666667</v>
      </c>
      <c r="AS196" s="25">
        <f t="shared" si="55"/>
        <v>130666.66666666667</v>
      </c>
      <c r="AT196" s="25">
        <f t="shared" si="55"/>
        <v>130666.66666666667</v>
      </c>
      <c r="AU196" s="25">
        <f t="shared" si="55"/>
        <v>130666.66666666667</v>
      </c>
      <c r="AV196" s="25">
        <f t="shared" si="55"/>
        <v>130666.66666666667</v>
      </c>
      <c r="AW196" s="25">
        <f t="shared" si="55"/>
        <v>130666.66666666667</v>
      </c>
      <c r="AX196" s="25">
        <f t="shared" si="55"/>
        <v>130666.66666666667</v>
      </c>
      <c r="AY196" s="25">
        <f t="shared" si="55"/>
        <v>130666.66666666667</v>
      </c>
      <c r="AZ196" s="25">
        <f t="shared" si="55"/>
        <v>130666.66666666667</v>
      </c>
      <c r="BA196" s="25">
        <f t="shared" si="55"/>
        <v>130666.66666666667</v>
      </c>
      <c r="BB196" s="25">
        <f t="shared" si="55"/>
        <v>130666.66666666667</v>
      </c>
      <c r="BC196" s="25">
        <f t="shared" si="55"/>
        <v>130666.66666666667</v>
      </c>
      <c r="BD196" s="25">
        <f t="shared" si="55"/>
        <v>187833.33333333334</v>
      </c>
      <c r="BE196" s="25">
        <f t="shared" si="55"/>
        <v>187833.33333333334</v>
      </c>
      <c r="BF196" s="25">
        <f t="shared" si="55"/>
        <v>187833.33333333334</v>
      </c>
      <c r="BG196" s="25">
        <f t="shared" si="55"/>
        <v>187833.33333333334</v>
      </c>
      <c r="BH196" s="25">
        <f t="shared" si="55"/>
        <v>187833.33333333334</v>
      </c>
      <c r="BI196" s="25">
        <f t="shared" si="55"/>
        <v>187833.33333333334</v>
      </c>
      <c r="BJ196" s="25">
        <f t="shared" si="55"/>
        <v>187833.33333333334</v>
      </c>
      <c r="BK196" s="25">
        <f t="shared" si="55"/>
        <v>187833.33333333334</v>
      </c>
      <c r="BL196" s="25">
        <f t="shared" si="55"/>
        <v>187833.33333333334</v>
      </c>
      <c r="BM196" s="25">
        <f t="shared" si="55"/>
        <v>187833.33333333334</v>
      </c>
      <c r="BN196" s="25">
        <f t="shared" si="55"/>
        <v>187833.33333333334</v>
      </c>
      <c r="BO196" s="25">
        <f t="shared" si="55"/>
        <v>187833.33333333334</v>
      </c>
    </row>
    <row r="197" spans="1:67" x14ac:dyDescent="0.25">
      <c r="A197" s="226"/>
      <c r="B197" s="202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</row>
    <row r="198" spans="1:67" s="204" customFormat="1" x14ac:dyDescent="0.25">
      <c r="A198" s="204" t="s">
        <v>257</v>
      </c>
      <c r="B198" s="202">
        <f>MAX(D198:AQ198)</f>
        <v>658333.33333333337</v>
      </c>
      <c r="C198" s="25"/>
      <c r="D198" s="204">
        <f>D188+D192+D196</f>
        <v>900</v>
      </c>
      <c r="E198" s="204">
        <f t="shared" ref="E198:BO198" si="56">E188+E192+E196</f>
        <v>900</v>
      </c>
      <c r="F198" s="204">
        <f t="shared" si="56"/>
        <v>900</v>
      </c>
      <c r="G198" s="204">
        <f t="shared" si="56"/>
        <v>900</v>
      </c>
      <c r="H198" s="204">
        <f t="shared" si="56"/>
        <v>65833.333333333328</v>
      </c>
      <c r="I198" s="204">
        <f t="shared" si="56"/>
        <v>65833.333333333328</v>
      </c>
      <c r="J198" s="204">
        <f t="shared" si="56"/>
        <v>65833.333333333328</v>
      </c>
      <c r="K198" s="204">
        <f t="shared" si="56"/>
        <v>65833.333333333328</v>
      </c>
      <c r="L198" s="204">
        <f t="shared" si="56"/>
        <v>65833.333333333328</v>
      </c>
      <c r="M198" s="204">
        <f t="shared" si="56"/>
        <v>65833.333333333328</v>
      </c>
      <c r="N198" s="204">
        <f t="shared" si="56"/>
        <v>65833.333333333328</v>
      </c>
      <c r="O198" s="204">
        <f t="shared" si="56"/>
        <v>65833.333333333328</v>
      </c>
      <c r="P198" s="204">
        <f t="shared" si="56"/>
        <v>65833.333333333328</v>
      </c>
      <c r="Q198" s="204">
        <f t="shared" si="56"/>
        <v>65833.333333333328</v>
      </c>
      <c r="R198" s="204">
        <f t="shared" si="56"/>
        <v>65833.333333333328</v>
      </c>
      <c r="S198" s="204">
        <f t="shared" si="56"/>
        <v>65833.333333333328</v>
      </c>
      <c r="T198" s="204">
        <f t="shared" si="56"/>
        <v>329166.66666666669</v>
      </c>
      <c r="U198" s="204">
        <f t="shared" si="56"/>
        <v>329166.66666666669</v>
      </c>
      <c r="V198" s="204">
        <f t="shared" si="56"/>
        <v>329166.66666666669</v>
      </c>
      <c r="W198" s="204">
        <f t="shared" si="56"/>
        <v>329166.66666666669</v>
      </c>
      <c r="X198" s="204">
        <f t="shared" si="56"/>
        <v>329166.66666666669</v>
      </c>
      <c r="Y198" s="204">
        <f t="shared" si="56"/>
        <v>329166.66666666669</v>
      </c>
      <c r="Z198" s="204">
        <f t="shared" si="56"/>
        <v>329166.66666666669</v>
      </c>
      <c r="AA198" s="204">
        <f t="shared" si="56"/>
        <v>329166.66666666669</v>
      </c>
      <c r="AB198" s="204">
        <f t="shared" si="56"/>
        <v>329166.66666666669</v>
      </c>
      <c r="AC198" s="204">
        <f t="shared" si="56"/>
        <v>329166.66666666669</v>
      </c>
      <c r="AD198" s="204">
        <f t="shared" si="56"/>
        <v>329166.66666666669</v>
      </c>
      <c r="AE198" s="204">
        <f t="shared" si="56"/>
        <v>329166.66666666669</v>
      </c>
      <c r="AF198" s="204">
        <f t="shared" si="56"/>
        <v>658333.33333333337</v>
      </c>
      <c r="AG198" s="204">
        <f t="shared" si="56"/>
        <v>658333.33333333337</v>
      </c>
      <c r="AH198" s="204">
        <f t="shared" si="56"/>
        <v>658333.33333333337</v>
      </c>
      <c r="AI198" s="204">
        <f t="shared" si="56"/>
        <v>658333.33333333337</v>
      </c>
      <c r="AJ198" s="204">
        <f t="shared" si="56"/>
        <v>658333.33333333337</v>
      </c>
      <c r="AK198" s="204">
        <f t="shared" si="56"/>
        <v>658333.33333333337</v>
      </c>
      <c r="AL198" s="204">
        <f t="shared" si="56"/>
        <v>658333.33333333337</v>
      </c>
      <c r="AM198" s="204">
        <f t="shared" si="56"/>
        <v>658333.33333333337</v>
      </c>
      <c r="AN198" s="204">
        <f t="shared" si="56"/>
        <v>658333.33333333337</v>
      </c>
      <c r="AO198" s="204">
        <f t="shared" si="56"/>
        <v>658333.33333333337</v>
      </c>
      <c r="AP198" s="204">
        <f t="shared" si="56"/>
        <v>658333.33333333337</v>
      </c>
      <c r="AQ198" s="204">
        <f t="shared" si="56"/>
        <v>658333.33333333337</v>
      </c>
      <c r="AR198" s="204">
        <f t="shared" si="56"/>
        <v>1053333.3333333333</v>
      </c>
      <c r="AS198" s="204">
        <f t="shared" si="56"/>
        <v>1053333.3333333333</v>
      </c>
      <c r="AT198" s="204">
        <f t="shared" si="56"/>
        <v>1053333.3333333333</v>
      </c>
      <c r="AU198" s="204">
        <f t="shared" si="56"/>
        <v>1053333.3333333333</v>
      </c>
      <c r="AV198" s="204">
        <f t="shared" si="56"/>
        <v>1053333.3333333333</v>
      </c>
      <c r="AW198" s="204">
        <f t="shared" si="56"/>
        <v>1053333.3333333333</v>
      </c>
      <c r="AX198" s="204">
        <f t="shared" si="56"/>
        <v>1053333.3333333333</v>
      </c>
      <c r="AY198" s="204">
        <f t="shared" si="56"/>
        <v>1053333.3333333333</v>
      </c>
      <c r="AZ198" s="204">
        <f t="shared" si="56"/>
        <v>1053333.3333333333</v>
      </c>
      <c r="BA198" s="204">
        <f t="shared" si="56"/>
        <v>1053333.3333333333</v>
      </c>
      <c r="BB198" s="204">
        <f t="shared" si="56"/>
        <v>1053333.3333333333</v>
      </c>
      <c r="BC198" s="204">
        <f t="shared" si="56"/>
        <v>1053333.3333333333</v>
      </c>
      <c r="BD198" s="204">
        <f t="shared" si="56"/>
        <v>1514166.6666666665</v>
      </c>
      <c r="BE198" s="204">
        <f t="shared" si="56"/>
        <v>1514166.6666666665</v>
      </c>
      <c r="BF198" s="204">
        <f t="shared" si="56"/>
        <v>1514166.6666666665</v>
      </c>
      <c r="BG198" s="204">
        <f t="shared" si="56"/>
        <v>1514166.6666666665</v>
      </c>
      <c r="BH198" s="204">
        <f t="shared" si="56"/>
        <v>1514166.6666666665</v>
      </c>
      <c r="BI198" s="204">
        <f t="shared" si="56"/>
        <v>1514166.6666666665</v>
      </c>
      <c r="BJ198" s="204">
        <f t="shared" si="56"/>
        <v>1514166.6666666665</v>
      </c>
      <c r="BK198" s="204">
        <f t="shared" si="56"/>
        <v>1514166.6666666665</v>
      </c>
      <c r="BL198" s="204">
        <f t="shared" si="56"/>
        <v>1514166.6666666665</v>
      </c>
      <c r="BM198" s="204">
        <f t="shared" si="56"/>
        <v>1514166.6666666665</v>
      </c>
      <c r="BN198" s="204">
        <f t="shared" si="56"/>
        <v>1514166.6666666665</v>
      </c>
      <c r="BO198" s="204">
        <f t="shared" si="56"/>
        <v>1514166.6666666665</v>
      </c>
    </row>
    <row r="199" spans="1:67" x14ac:dyDescent="0.25">
      <c r="A199" s="226"/>
      <c r="B199" s="202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</row>
    <row r="200" spans="1:67" s="162" customFormat="1" x14ac:dyDescent="0.25">
      <c r="A200" s="159" t="s">
        <v>162</v>
      </c>
      <c r="B200" s="202"/>
      <c r="C200" s="161"/>
      <c r="D200" s="161"/>
      <c r="E200" s="161"/>
      <c r="F200" s="161"/>
      <c r="G200" s="161"/>
    </row>
    <row r="201" spans="1:67" x14ac:dyDescent="0.25">
      <c r="A201" s="213"/>
      <c r="B201" s="202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</row>
    <row r="202" spans="1:67" x14ac:dyDescent="0.25">
      <c r="A202" s="226" t="str">
        <f>A60</f>
        <v>Head of Sales</v>
      </c>
      <c r="B202" s="202"/>
      <c r="D202" s="223">
        <f t="shared" ref="D202:AI202" si="57">D60+D128+D154</f>
        <v>0</v>
      </c>
      <c r="E202" s="223">
        <f t="shared" si="57"/>
        <v>0</v>
      </c>
      <c r="F202" s="223">
        <f t="shared" si="57"/>
        <v>0</v>
      </c>
      <c r="G202" s="223">
        <f t="shared" si="57"/>
        <v>0</v>
      </c>
      <c r="H202" s="51">
        <f t="shared" si="57"/>
        <v>13166.666666666666</v>
      </c>
      <c r="I202" s="51">
        <f t="shared" si="57"/>
        <v>13166.666666666666</v>
      </c>
      <c r="J202" s="51">
        <f t="shared" si="57"/>
        <v>13166.666666666666</v>
      </c>
      <c r="K202" s="51">
        <f t="shared" si="57"/>
        <v>13166.666666666666</v>
      </c>
      <c r="L202" s="51">
        <f t="shared" si="57"/>
        <v>13166.666666666666</v>
      </c>
      <c r="M202" s="51">
        <f t="shared" si="57"/>
        <v>13166.666666666666</v>
      </c>
      <c r="N202" s="51">
        <f t="shared" si="57"/>
        <v>13166.666666666666</v>
      </c>
      <c r="O202" s="51">
        <f t="shared" si="57"/>
        <v>13166.666666666666</v>
      </c>
      <c r="P202" s="51">
        <f t="shared" si="57"/>
        <v>13166.666666666666</v>
      </c>
      <c r="Q202" s="51">
        <f t="shared" si="57"/>
        <v>13166.666666666666</v>
      </c>
      <c r="R202" s="51">
        <f t="shared" si="57"/>
        <v>13166.666666666666</v>
      </c>
      <c r="S202" s="51">
        <f t="shared" si="57"/>
        <v>13166.666666666666</v>
      </c>
      <c r="T202" s="51">
        <f t="shared" si="57"/>
        <v>16458.333333333336</v>
      </c>
      <c r="U202" s="51">
        <f t="shared" si="57"/>
        <v>16458.333333333336</v>
      </c>
      <c r="V202" s="51">
        <f t="shared" si="57"/>
        <v>16458.333333333336</v>
      </c>
      <c r="W202" s="51">
        <f t="shared" si="57"/>
        <v>16458.333333333336</v>
      </c>
      <c r="X202" s="51">
        <f t="shared" si="57"/>
        <v>16458.333333333336</v>
      </c>
      <c r="Y202" s="51">
        <f t="shared" si="57"/>
        <v>16458.333333333336</v>
      </c>
      <c r="Z202" s="51">
        <f t="shared" si="57"/>
        <v>16458.333333333336</v>
      </c>
      <c r="AA202" s="51">
        <f t="shared" si="57"/>
        <v>16458.333333333336</v>
      </c>
      <c r="AB202" s="51">
        <f t="shared" si="57"/>
        <v>16458.333333333336</v>
      </c>
      <c r="AC202" s="51">
        <f t="shared" si="57"/>
        <v>16458.333333333336</v>
      </c>
      <c r="AD202" s="51">
        <f t="shared" si="57"/>
        <v>16458.333333333336</v>
      </c>
      <c r="AE202" s="51">
        <f t="shared" si="57"/>
        <v>16458.333333333336</v>
      </c>
      <c r="AF202" s="51">
        <f t="shared" si="57"/>
        <v>21066.666666666668</v>
      </c>
      <c r="AG202" s="51">
        <f t="shared" si="57"/>
        <v>21066.666666666668</v>
      </c>
      <c r="AH202" s="51">
        <f t="shared" si="57"/>
        <v>21066.666666666668</v>
      </c>
      <c r="AI202" s="51">
        <f t="shared" si="57"/>
        <v>21066.666666666668</v>
      </c>
      <c r="AJ202" s="51">
        <f t="shared" ref="AJ202:BO202" si="58">AJ60+AJ128+AJ154</f>
        <v>21066.666666666668</v>
      </c>
      <c r="AK202" s="51">
        <f t="shared" si="58"/>
        <v>21066.666666666668</v>
      </c>
      <c r="AL202" s="51">
        <f t="shared" si="58"/>
        <v>21066.666666666668</v>
      </c>
      <c r="AM202" s="51">
        <f t="shared" si="58"/>
        <v>21066.666666666668</v>
      </c>
      <c r="AN202" s="51">
        <f t="shared" si="58"/>
        <v>21066.666666666668</v>
      </c>
      <c r="AO202" s="51">
        <f t="shared" si="58"/>
        <v>21066.666666666668</v>
      </c>
      <c r="AP202" s="51">
        <f t="shared" si="58"/>
        <v>21066.666666666668</v>
      </c>
      <c r="AQ202" s="51">
        <f t="shared" si="58"/>
        <v>21066.666666666668</v>
      </c>
      <c r="AR202" s="51">
        <f t="shared" si="58"/>
        <v>30283.333333333332</v>
      </c>
      <c r="AS202" s="51">
        <f t="shared" si="58"/>
        <v>30283.333333333332</v>
      </c>
      <c r="AT202" s="51">
        <f t="shared" si="58"/>
        <v>30283.333333333332</v>
      </c>
      <c r="AU202" s="51">
        <f t="shared" si="58"/>
        <v>30283.333333333332</v>
      </c>
      <c r="AV202" s="51">
        <f t="shared" si="58"/>
        <v>30283.333333333332</v>
      </c>
      <c r="AW202" s="51">
        <f t="shared" si="58"/>
        <v>30283.333333333332</v>
      </c>
      <c r="AX202" s="51">
        <f t="shared" si="58"/>
        <v>30283.333333333332</v>
      </c>
      <c r="AY202" s="51">
        <f t="shared" si="58"/>
        <v>30283.333333333332</v>
      </c>
      <c r="AZ202" s="51">
        <f t="shared" si="58"/>
        <v>30283.333333333332</v>
      </c>
      <c r="BA202" s="51">
        <f t="shared" si="58"/>
        <v>30283.333333333332</v>
      </c>
      <c r="BB202" s="51">
        <f t="shared" si="58"/>
        <v>30283.333333333332</v>
      </c>
      <c r="BC202" s="51">
        <f t="shared" si="58"/>
        <v>30283.333333333332</v>
      </c>
      <c r="BD202" s="51">
        <f t="shared" si="58"/>
        <v>39500</v>
      </c>
      <c r="BE202" s="51">
        <f t="shared" si="58"/>
        <v>39500</v>
      </c>
      <c r="BF202" s="51">
        <f t="shared" si="58"/>
        <v>39500</v>
      </c>
      <c r="BG202" s="51">
        <f t="shared" si="58"/>
        <v>39500</v>
      </c>
      <c r="BH202" s="51">
        <f t="shared" si="58"/>
        <v>39500</v>
      </c>
      <c r="BI202" s="51">
        <f t="shared" si="58"/>
        <v>39500</v>
      </c>
      <c r="BJ202" s="51">
        <f t="shared" si="58"/>
        <v>39500</v>
      </c>
      <c r="BK202" s="51">
        <f t="shared" si="58"/>
        <v>39500</v>
      </c>
      <c r="BL202" s="51">
        <f t="shared" si="58"/>
        <v>39500</v>
      </c>
      <c r="BM202" s="51">
        <f t="shared" si="58"/>
        <v>39500</v>
      </c>
      <c r="BN202" s="51">
        <f t="shared" si="58"/>
        <v>39500</v>
      </c>
      <c r="BO202" s="51">
        <f t="shared" si="58"/>
        <v>39500</v>
      </c>
    </row>
    <row r="203" spans="1:67" x14ac:dyDescent="0.25">
      <c r="A203" s="226" t="str">
        <f>A61</f>
        <v>Sales Person</v>
      </c>
      <c r="B203" s="202"/>
      <c r="D203" s="223">
        <f t="shared" ref="D203:AI203" si="59">D61+D129+D155</f>
        <v>0</v>
      </c>
      <c r="E203" s="223">
        <f t="shared" si="59"/>
        <v>0</v>
      </c>
      <c r="F203" s="223">
        <f t="shared" si="59"/>
        <v>0</v>
      </c>
      <c r="G203" s="223">
        <f t="shared" si="59"/>
        <v>0</v>
      </c>
      <c r="H203" s="51">
        <f t="shared" si="59"/>
        <v>18000</v>
      </c>
      <c r="I203" s="51">
        <f t="shared" si="59"/>
        <v>27000</v>
      </c>
      <c r="J203" s="51">
        <f t="shared" si="59"/>
        <v>36000</v>
      </c>
      <c r="K203" s="51">
        <f t="shared" si="59"/>
        <v>45000.000000000007</v>
      </c>
      <c r="L203" s="51">
        <f t="shared" si="59"/>
        <v>54000</v>
      </c>
      <c r="M203" s="51">
        <f t="shared" si="59"/>
        <v>63000</v>
      </c>
      <c r="N203" s="51">
        <f t="shared" si="59"/>
        <v>72000</v>
      </c>
      <c r="O203" s="51">
        <f t="shared" si="59"/>
        <v>81000</v>
      </c>
      <c r="P203" s="51">
        <f t="shared" si="59"/>
        <v>90000.000000000015</v>
      </c>
      <c r="Q203" s="51">
        <f t="shared" si="59"/>
        <v>99000</v>
      </c>
      <c r="R203" s="51">
        <f t="shared" si="59"/>
        <v>108000</v>
      </c>
      <c r="S203" s="51">
        <f t="shared" si="59"/>
        <v>117000.00000000001</v>
      </c>
      <c r="T203" s="51">
        <f t="shared" si="59"/>
        <v>157500</v>
      </c>
      <c r="U203" s="51">
        <f t="shared" si="59"/>
        <v>168750.00000000003</v>
      </c>
      <c r="V203" s="51">
        <f t="shared" si="59"/>
        <v>180000.00000000003</v>
      </c>
      <c r="W203" s="51">
        <f t="shared" si="59"/>
        <v>191250.00000000003</v>
      </c>
      <c r="X203" s="51">
        <f t="shared" si="59"/>
        <v>202500</v>
      </c>
      <c r="Y203" s="51">
        <f t="shared" si="59"/>
        <v>213750.00000000003</v>
      </c>
      <c r="Z203" s="51">
        <f t="shared" si="59"/>
        <v>225000.00000000003</v>
      </c>
      <c r="AA203" s="51">
        <f t="shared" si="59"/>
        <v>236250</v>
      </c>
      <c r="AB203" s="51">
        <f t="shared" si="59"/>
        <v>247500.00000000003</v>
      </c>
      <c r="AC203" s="51">
        <f t="shared" si="59"/>
        <v>258750.00000000003</v>
      </c>
      <c r="AD203" s="51">
        <f t="shared" si="59"/>
        <v>270000</v>
      </c>
      <c r="AE203" s="51">
        <f t="shared" si="59"/>
        <v>281250</v>
      </c>
      <c r="AF203" s="51">
        <f t="shared" si="59"/>
        <v>374400</v>
      </c>
      <c r="AG203" s="51">
        <f t="shared" si="59"/>
        <v>388800</v>
      </c>
      <c r="AH203" s="51">
        <f t="shared" si="59"/>
        <v>403200.00000000006</v>
      </c>
      <c r="AI203" s="51">
        <f t="shared" si="59"/>
        <v>417600</v>
      </c>
      <c r="AJ203" s="51">
        <f t="shared" ref="AJ203:BO203" si="60">AJ61+AJ129+AJ155</f>
        <v>432000</v>
      </c>
      <c r="AK203" s="51">
        <f t="shared" si="60"/>
        <v>446400.00000000006</v>
      </c>
      <c r="AL203" s="51">
        <f t="shared" si="60"/>
        <v>460800</v>
      </c>
      <c r="AM203" s="51">
        <f t="shared" si="60"/>
        <v>475200</v>
      </c>
      <c r="AN203" s="51">
        <f t="shared" si="60"/>
        <v>489600.00000000006</v>
      </c>
      <c r="AO203" s="51">
        <f t="shared" si="60"/>
        <v>504000</v>
      </c>
      <c r="AP203" s="51">
        <f t="shared" si="60"/>
        <v>518400</v>
      </c>
      <c r="AQ203" s="51">
        <f t="shared" si="60"/>
        <v>532800</v>
      </c>
      <c r="AR203" s="51">
        <f t="shared" si="60"/>
        <v>786600</v>
      </c>
      <c r="AS203" s="51">
        <f t="shared" si="60"/>
        <v>807300</v>
      </c>
      <c r="AT203" s="51">
        <f t="shared" si="60"/>
        <v>828000.00000000012</v>
      </c>
      <c r="AU203" s="51">
        <f t="shared" si="60"/>
        <v>848700</v>
      </c>
      <c r="AV203" s="51">
        <f t="shared" si="60"/>
        <v>869400</v>
      </c>
      <c r="AW203" s="51">
        <f t="shared" si="60"/>
        <v>890100.00000000012</v>
      </c>
      <c r="AX203" s="51">
        <f t="shared" si="60"/>
        <v>910800</v>
      </c>
      <c r="AY203" s="51">
        <f t="shared" si="60"/>
        <v>931500</v>
      </c>
      <c r="AZ203" s="51">
        <f t="shared" si="60"/>
        <v>952200.00000000012</v>
      </c>
      <c r="BA203" s="51">
        <f t="shared" si="60"/>
        <v>972900</v>
      </c>
      <c r="BB203" s="51">
        <f t="shared" si="60"/>
        <v>993600</v>
      </c>
      <c r="BC203" s="51">
        <f t="shared" si="60"/>
        <v>1014300.0000000001</v>
      </c>
      <c r="BD203" s="51">
        <f t="shared" si="60"/>
        <v>1350000</v>
      </c>
      <c r="BE203" s="51">
        <f t="shared" si="60"/>
        <v>1377000.0000000002</v>
      </c>
      <c r="BF203" s="51">
        <f t="shared" si="60"/>
        <v>1404000</v>
      </c>
      <c r="BG203" s="51">
        <f t="shared" si="60"/>
        <v>1431000</v>
      </c>
      <c r="BH203" s="51">
        <f t="shared" si="60"/>
        <v>1458000.0000000002</v>
      </c>
      <c r="BI203" s="51">
        <f t="shared" si="60"/>
        <v>1485000</v>
      </c>
      <c r="BJ203" s="51">
        <f t="shared" si="60"/>
        <v>1512000</v>
      </c>
      <c r="BK203" s="51">
        <f t="shared" si="60"/>
        <v>1539000.0000000002</v>
      </c>
      <c r="BL203" s="51">
        <f t="shared" si="60"/>
        <v>1566000</v>
      </c>
      <c r="BM203" s="51">
        <f t="shared" si="60"/>
        <v>1593000</v>
      </c>
      <c r="BN203" s="51">
        <f t="shared" si="60"/>
        <v>1620000.0000000002</v>
      </c>
      <c r="BO203" s="51">
        <f t="shared" si="60"/>
        <v>1647000</v>
      </c>
    </row>
    <row r="204" spans="1:67" x14ac:dyDescent="0.25">
      <c r="A204" s="226" t="str">
        <f>A62</f>
        <v>Pre Sales Person</v>
      </c>
      <c r="B204" s="202"/>
      <c r="D204" s="223">
        <f t="shared" ref="D204:AI204" si="61">D62+D130+D156</f>
        <v>0</v>
      </c>
      <c r="E204" s="223">
        <f t="shared" si="61"/>
        <v>0</v>
      </c>
      <c r="F204" s="223">
        <f t="shared" si="61"/>
        <v>0</v>
      </c>
      <c r="G204" s="223">
        <f t="shared" si="61"/>
        <v>0</v>
      </c>
      <c r="H204" s="51">
        <f t="shared" si="61"/>
        <v>0</v>
      </c>
      <c r="I204" s="51">
        <f t="shared" si="61"/>
        <v>0</v>
      </c>
      <c r="J204" s="51">
        <f t="shared" si="61"/>
        <v>0</v>
      </c>
      <c r="K204" s="51">
        <f t="shared" si="61"/>
        <v>7333.3333333333339</v>
      </c>
      <c r="L204" s="51">
        <f t="shared" si="61"/>
        <v>7333.3333333333339</v>
      </c>
      <c r="M204" s="51">
        <f t="shared" si="61"/>
        <v>7333.3333333333339</v>
      </c>
      <c r="N204" s="51">
        <f t="shared" si="61"/>
        <v>7333.3333333333339</v>
      </c>
      <c r="O204" s="51">
        <f t="shared" si="61"/>
        <v>7333.3333333333339</v>
      </c>
      <c r="P204" s="51">
        <f t="shared" si="61"/>
        <v>14666.666666666668</v>
      </c>
      <c r="Q204" s="51">
        <f t="shared" si="61"/>
        <v>14666.666666666668</v>
      </c>
      <c r="R204" s="51">
        <f t="shared" si="61"/>
        <v>14666.666666666668</v>
      </c>
      <c r="S204" s="51">
        <f t="shared" si="61"/>
        <v>14666.666666666668</v>
      </c>
      <c r="T204" s="51">
        <f t="shared" si="61"/>
        <v>18333.333333333336</v>
      </c>
      <c r="U204" s="51">
        <f t="shared" si="61"/>
        <v>27500</v>
      </c>
      <c r="V204" s="51">
        <f t="shared" si="61"/>
        <v>27500</v>
      </c>
      <c r="W204" s="51">
        <f t="shared" si="61"/>
        <v>27500</v>
      </c>
      <c r="X204" s="51">
        <f t="shared" si="61"/>
        <v>27500</v>
      </c>
      <c r="Y204" s="51">
        <f t="shared" si="61"/>
        <v>27500</v>
      </c>
      <c r="Z204" s="51">
        <f t="shared" si="61"/>
        <v>36666.666666666672</v>
      </c>
      <c r="AA204" s="51">
        <f t="shared" si="61"/>
        <v>36666.666666666672</v>
      </c>
      <c r="AB204" s="51">
        <f t="shared" si="61"/>
        <v>36666.666666666672</v>
      </c>
      <c r="AC204" s="51">
        <f t="shared" si="61"/>
        <v>36666.666666666672</v>
      </c>
      <c r="AD204" s="51">
        <f t="shared" si="61"/>
        <v>36666.666666666672</v>
      </c>
      <c r="AE204" s="51">
        <f t="shared" si="61"/>
        <v>45833.333333333336</v>
      </c>
      <c r="AF204" s="51">
        <f t="shared" si="61"/>
        <v>58666.666666666672</v>
      </c>
      <c r="AG204" s="51">
        <f t="shared" si="61"/>
        <v>58666.666666666672</v>
      </c>
      <c r="AH204" s="51">
        <f t="shared" si="61"/>
        <v>58666.666666666672</v>
      </c>
      <c r="AI204" s="51">
        <f t="shared" si="61"/>
        <v>58666.666666666672</v>
      </c>
      <c r="AJ204" s="51">
        <f t="shared" ref="AJ204:BO204" si="62">AJ62+AJ130+AJ156</f>
        <v>70400</v>
      </c>
      <c r="AK204" s="51">
        <f t="shared" si="62"/>
        <v>70400</v>
      </c>
      <c r="AL204" s="51">
        <f t="shared" si="62"/>
        <v>70400</v>
      </c>
      <c r="AM204" s="51">
        <f t="shared" si="62"/>
        <v>70400</v>
      </c>
      <c r="AN204" s="51">
        <f t="shared" si="62"/>
        <v>70400</v>
      </c>
      <c r="AO204" s="51">
        <f t="shared" si="62"/>
        <v>82133.333333333343</v>
      </c>
      <c r="AP204" s="51">
        <f t="shared" si="62"/>
        <v>82133.333333333343</v>
      </c>
      <c r="AQ204" s="51">
        <f t="shared" si="62"/>
        <v>82133.333333333343</v>
      </c>
      <c r="AR204" s="51">
        <f t="shared" si="62"/>
        <v>118066.66666666667</v>
      </c>
      <c r="AS204" s="51">
        <f t="shared" si="62"/>
        <v>118066.66666666667</v>
      </c>
      <c r="AT204" s="51">
        <f t="shared" si="62"/>
        <v>134933.33333333337</v>
      </c>
      <c r="AU204" s="51">
        <f t="shared" si="62"/>
        <v>134933.33333333337</v>
      </c>
      <c r="AV204" s="51">
        <f t="shared" si="62"/>
        <v>134933.33333333337</v>
      </c>
      <c r="AW204" s="51">
        <f t="shared" si="62"/>
        <v>134933.33333333337</v>
      </c>
      <c r="AX204" s="51">
        <f t="shared" si="62"/>
        <v>134933.33333333337</v>
      </c>
      <c r="AY204" s="51">
        <f t="shared" si="62"/>
        <v>151800</v>
      </c>
      <c r="AZ204" s="51">
        <f t="shared" si="62"/>
        <v>151800</v>
      </c>
      <c r="BA204" s="51">
        <f t="shared" si="62"/>
        <v>151800</v>
      </c>
      <c r="BB204" s="51">
        <f t="shared" si="62"/>
        <v>151800</v>
      </c>
      <c r="BC204" s="51">
        <f t="shared" si="62"/>
        <v>151800</v>
      </c>
      <c r="BD204" s="51">
        <f t="shared" si="62"/>
        <v>220000</v>
      </c>
      <c r="BE204" s="51">
        <f t="shared" si="62"/>
        <v>220000</v>
      </c>
      <c r="BF204" s="51">
        <f t="shared" si="62"/>
        <v>220000</v>
      </c>
      <c r="BG204" s="51">
        <f t="shared" si="62"/>
        <v>220000</v>
      </c>
      <c r="BH204" s="51">
        <f t="shared" si="62"/>
        <v>220000</v>
      </c>
      <c r="BI204" s="51">
        <f t="shared" si="62"/>
        <v>242000.00000000003</v>
      </c>
      <c r="BJ204" s="51">
        <f t="shared" si="62"/>
        <v>242000.00000000003</v>
      </c>
      <c r="BK204" s="51">
        <f t="shared" si="62"/>
        <v>242000.00000000003</v>
      </c>
      <c r="BL204" s="51">
        <f t="shared" si="62"/>
        <v>242000.00000000003</v>
      </c>
      <c r="BM204" s="51">
        <f t="shared" si="62"/>
        <v>242000.00000000003</v>
      </c>
      <c r="BN204" s="51">
        <f t="shared" si="62"/>
        <v>264000</v>
      </c>
      <c r="BO204" s="51">
        <f t="shared" si="62"/>
        <v>264000</v>
      </c>
    </row>
    <row r="205" spans="1:67" x14ac:dyDescent="0.25">
      <c r="A205" s="226" t="str">
        <f>A63</f>
        <v>Sales Assistant</v>
      </c>
      <c r="B205" s="202"/>
      <c r="D205" s="223">
        <f t="shared" ref="D205:AI205" si="63">D63+D131+D157</f>
        <v>0</v>
      </c>
      <c r="E205" s="223">
        <f t="shared" si="63"/>
        <v>0</v>
      </c>
      <c r="F205" s="223">
        <f t="shared" si="63"/>
        <v>0</v>
      </c>
      <c r="G205" s="223">
        <f t="shared" si="63"/>
        <v>0</v>
      </c>
      <c r="H205" s="51">
        <f t="shared" si="63"/>
        <v>0</v>
      </c>
      <c r="I205" s="51">
        <f t="shared" si="63"/>
        <v>0</v>
      </c>
      <c r="J205" s="51">
        <f t="shared" si="63"/>
        <v>0</v>
      </c>
      <c r="K205" s="51">
        <f t="shared" si="63"/>
        <v>0</v>
      </c>
      <c r="L205" s="51">
        <f t="shared" si="63"/>
        <v>0</v>
      </c>
      <c r="M205" s="51">
        <f t="shared" si="63"/>
        <v>0</v>
      </c>
      <c r="N205" s="51">
        <f t="shared" si="63"/>
        <v>0</v>
      </c>
      <c r="O205" s="51">
        <f t="shared" si="63"/>
        <v>0</v>
      </c>
      <c r="P205" s="51">
        <f t="shared" si="63"/>
        <v>6916.666666666667</v>
      </c>
      <c r="Q205" s="51">
        <f t="shared" si="63"/>
        <v>6916.666666666667</v>
      </c>
      <c r="R205" s="51">
        <f t="shared" si="63"/>
        <v>6916.666666666667</v>
      </c>
      <c r="S205" s="51">
        <f t="shared" si="63"/>
        <v>6916.666666666667</v>
      </c>
      <c r="T205" s="51">
        <f t="shared" si="63"/>
        <v>8645.8333333333339</v>
      </c>
      <c r="U205" s="51">
        <f t="shared" si="63"/>
        <v>8645.8333333333339</v>
      </c>
      <c r="V205" s="51">
        <f t="shared" si="63"/>
        <v>8645.8333333333339</v>
      </c>
      <c r="W205" s="51">
        <f t="shared" si="63"/>
        <v>8645.8333333333339</v>
      </c>
      <c r="X205" s="51">
        <f t="shared" si="63"/>
        <v>8645.8333333333339</v>
      </c>
      <c r="Y205" s="51">
        <f t="shared" si="63"/>
        <v>8645.8333333333339</v>
      </c>
      <c r="Z205" s="51">
        <f t="shared" si="63"/>
        <v>17291.666666666668</v>
      </c>
      <c r="AA205" s="51">
        <f t="shared" si="63"/>
        <v>17291.666666666668</v>
      </c>
      <c r="AB205" s="51">
        <f t="shared" si="63"/>
        <v>17291.666666666668</v>
      </c>
      <c r="AC205" s="51">
        <f t="shared" si="63"/>
        <v>17291.666666666668</v>
      </c>
      <c r="AD205" s="51">
        <f t="shared" si="63"/>
        <v>17291.666666666668</v>
      </c>
      <c r="AE205" s="51">
        <f t="shared" si="63"/>
        <v>17291.666666666668</v>
      </c>
      <c r="AF205" s="51">
        <f t="shared" si="63"/>
        <v>22133.333333333332</v>
      </c>
      <c r="AG205" s="51">
        <f t="shared" si="63"/>
        <v>22133.333333333332</v>
      </c>
      <c r="AH205" s="51">
        <f t="shared" si="63"/>
        <v>22133.333333333332</v>
      </c>
      <c r="AI205" s="51">
        <f t="shared" si="63"/>
        <v>22133.333333333332</v>
      </c>
      <c r="AJ205" s="51">
        <f t="shared" ref="AJ205:BO205" si="64">AJ63+AJ131+AJ157</f>
        <v>33200</v>
      </c>
      <c r="AK205" s="51">
        <f t="shared" si="64"/>
        <v>33200</v>
      </c>
      <c r="AL205" s="51">
        <f t="shared" si="64"/>
        <v>33200</v>
      </c>
      <c r="AM205" s="51">
        <f t="shared" si="64"/>
        <v>33200</v>
      </c>
      <c r="AN205" s="51">
        <f t="shared" si="64"/>
        <v>33200</v>
      </c>
      <c r="AO205" s="51">
        <f t="shared" si="64"/>
        <v>33200</v>
      </c>
      <c r="AP205" s="51">
        <f t="shared" si="64"/>
        <v>33200</v>
      </c>
      <c r="AQ205" s="51">
        <f t="shared" si="64"/>
        <v>33200</v>
      </c>
      <c r="AR205" s="51">
        <f t="shared" si="64"/>
        <v>47725</v>
      </c>
      <c r="AS205" s="51">
        <f t="shared" si="64"/>
        <v>47725</v>
      </c>
      <c r="AT205" s="51">
        <f t="shared" si="64"/>
        <v>63633.333333333336</v>
      </c>
      <c r="AU205" s="51">
        <f t="shared" si="64"/>
        <v>63633.333333333336</v>
      </c>
      <c r="AV205" s="51">
        <f t="shared" si="64"/>
        <v>63633.333333333336</v>
      </c>
      <c r="AW205" s="51">
        <f t="shared" si="64"/>
        <v>63633.333333333336</v>
      </c>
      <c r="AX205" s="51">
        <f t="shared" si="64"/>
        <v>63633.333333333336</v>
      </c>
      <c r="AY205" s="51">
        <f t="shared" si="64"/>
        <v>63633.333333333336</v>
      </c>
      <c r="AZ205" s="51">
        <f t="shared" si="64"/>
        <v>63633.333333333336</v>
      </c>
      <c r="BA205" s="51">
        <f t="shared" si="64"/>
        <v>63633.333333333336</v>
      </c>
      <c r="BB205" s="51">
        <f t="shared" si="64"/>
        <v>63633.333333333336</v>
      </c>
      <c r="BC205" s="51">
        <f t="shared" si="64"/>
        <v>63633.333333333336</v>
      </c>
      <c r="BD205" s="51">
        <f t="shared" si="64"/>
        <v>103750</v>
      </c>
      <c r="BE205" s="51">
        <f t="shared" si="64"/>
        <v>103750</v>
      </c>
      <c r="BF205" s="51">
        <f t="shared" si="64"/>
        <v>103750</v>
      </c>
      <c r="BG205" s="51">
        <f t="shared" si="64"/>
        <v>103750</v>
      </c>
      <c r="BH205" s="51">
        <f t="shared" si="64"/>
        <v>103750</v>
      </c>
      <c r="BI205" s="51">
        <f t="shared" si="64"/>
        <v>103750</v>
      </c>
      <c r="BJ205" s="51">
        <f t="shared" si="64"/>
        <v>103750</v>
      </c>
      <c r="BK205" s="51">
        <f t="shared" si="64"/>
        <v>103750</v>
      </c>
      <c r="BL205" s="51">
        <f t="shared" si="64"/>
        <v>103750</v>
      </c>
      <c r="BM205" s="51">
        <f t="shared" si="64"/>
        <v>103750</v>
      </c>
      <c r="BN205" s="51">
        <f t="shared" si="64"/>
        <v>124500</v>
      </c>
      <c r="BO205" s="51">
        <f t="shared" si="64"/>
        <v>124500</v>
      </c>
    </row>
    <row r="206" spans="1:67" s="25" customFormat="1" x14ac:dyDescent="0.25">
      <c r="A206" s="25" t="s">
        <v>243</v>
      </c>
      <c r="B206" s="202">
        <f>MAX(D206:AQ206)</f>
        <v>669200</v>
      </c>
      <c r="D206" s="25">
        <f>SUM(D202:D205)</f>
        <v>0</v>
      </c>
      <c r="E206" s="25">
        <f t="shared" ref="E206:BO206" si="65">SUM(E202:E205)</f>
        <v>0</v>
      </c>
      <c r="F206" s="25">
        <f t="shared" si="65"/>
        <v>0</v>
      </c>
      <c r="G206" s="25">
        <f t="shared" si="65"/>
        <v>0</v>
      </c>
      <c r="H206" s="25">
        <f t="shared" si="65"/>
        <v>31166.666666666664</v>
      </c>
      <c r="I206" s="25">
        <f t="shared" si="65"/>
        <v>40166.666666666664</v>
      </c>
      <c r="J206" s="25">
        <f t="shared" si="65"/>
        <v>49166.666666666664</v>
      </c>
      <c r="K206" s="25">
        <f t="shared" si="65"/>
        <v>65500.000000000007</v>
      </c>
      <c r="L206" s="25">
        <f t="shared" si="65"/>
        <v>74500</v>
      </c>
      <c r="M206" s="25">
        <f t="shared" si="65"/>
        <v>83500</v>
      </c>
      <c r="N206" s="25">
        <f t="shared" si="65"/>
        <v>92500</v>
      </c>
      <c r="O206" s="25">
        <f t="shared" si="65"/>
        <v>101500</v>
      </c>
      <c r="P206" s="25">
        <f t="shared" si="65"/>
        <v>124750.00000000003</v>
      </c>
      <c r="Q206" s="25">
        <f t="shared" si="65"/>
        <v>133750</v>
      </c>
      <c r="R206" s="25">
        <f t="shared" si="65"/>
        <v>142750</v>
      </c>
      <c r="S206" s="25">
        <f t="shared" si="65"/>
        <v>151750</v>
      </c>
      <c r="T206" s="25">
        <f t="shared" si="65"/>
        <v>200937.50000000003</v>
      </c>
      <c r="U206" s="25">
        <f t="shared" si="65"/>
        <v>221354.16666666672</v>
      </c>
      <c r="V206" s="25">
        <f t="shared" si="65"/>
        <v>232604.16666666672</v>
      </c>
      <c r="W206" s="25">
        <f t="shared" si="65"/>
        <v>243854.16666666672</v>
      </c>
      <c r="X206" s="25">
        <f t="shared" si="65"/>
        <v>255104.16666666669</v>
      </c>
      <c r="Y206" s="25">
        <f t="shared" si="65"/>
        <v>266354.16666666669</v>
      </c>
      <c r="Z206" s="25">
        <f t="shared" si="65"/>
        <v>295416.66666666674</v>
      </c>
      <c r="AA206" s="25">
        <f t="shared" si="65"/>
        <v>306666.66666666669</v>
      </c>
      <c r="AB206" s="25">
        <f t="shared" si="65"/>
        <v>317916.66666666674</v>
      </c>
      <c r="AC206" s="25">
        <f t="shared" si="65"/>
        <v>329166.66666666674</v>
      </c>
      <c r="AD206" s="25">
        <f t="shared" si="65"/>
        <v>340416.66666666669</v>
      </c>
      <c r="AE206" s="25">
        <f t="shared" si="65"/>
        <v>360833.33333333331</v>
      </c>
      <c r="AF206" s="25">
        <f t="shared" si="65"/>
        <v>476266.66666666669</v>
      </c>
      <c r="AG206" s="25">
        <f t="shared" si="65"/>
        <v>490666.66666666669</v>
      </c>
      <c r="AH206" s="25">
        <f t="shared" si="65"/>
        <v>505066.66666666674</v>
      </c>
      <c r="AI206" s="25">
        <f t="shared" si="65"/>
        <v>519466.66666666669</v>
      </c>
      <c r="AJ206" s="25">
        <f t="shared" si="65"/>
        <v>556666.66666666674</v>
      </c>
      <c r="AK206" s="25">
        <f t="shared" si="65"/>
        <v>571066.66666666674</v>
      </c>
      <c r="AL206" s="25">
        <f t="shared" si="65"/>
        <v>585466.66666666674</v>
      </c>
      <c r="AM206" s="25">
        <f t="shared" si="65"/>
        <v>599866.66666666674</v>
      </c>
      <c r="AN206" s="25">
        <f t="shared" si="65"/>
        <v>614266.66666666674</v>
      </c>
      <c r="AO206" s="25">
        <f t="shared" si="65"/>
        <v>640400</v>
      </c>
      <c r="AP206" s="25">
        <f t="shared" si="65"/>
        <v>654800</v>
      </c>
      <c r="AQ206" s="25">
        <f t="shared" si="65"/>
        <v>669200</v>
      </c>
      <c r="AR206" s="25">
        <f t="shared" si="65"/>
        <v>982675</v>
      </c>
      <c r="AS206" s="25">
        <f t="shared" si="65"/>
        <v>1003375</v>
      </c>
      <c r="AT206" s="25">
        <f t="shared" si="65"/>
        <v>1056850.0000000002</v>
      </c>
      <c r="AU206" s="25">
        <f t="shared" si="65"/>
        <v>1077550</v>
      </c>
      <c r="AV206" s="25">
        <f t="shared" si="65"/>
        <v>1098250</v>
      </c>
      <c r="AW206" s="25">
        <f t="shared" si="65"/>
        <v>1118950.0000000002</v>
      </c>
      <c r="AX206" s="25">
        <f t="shared" si="65"/>
        <v>1139650</v>
      </c>
      <c r="AY206" s="25">
        <f t="shared" si="65"/>
        <v>1177216.6666666667</v>
      </c>
      <c r="AZ206" s="25">
        <f t="shared" si="65"/>
        <v>1197916.6666666667</v>
      </c>
      <c r="BA206" s="25">
        <f t="shared" si="65"/>
        <v>1218616.6666666667</v>
      </c>
      <c r="BB206" s="25">
        <f t="shared" si="65"/>
        <v>1239316.6666666667</v>
      </c>
      <c r="BC206" s="25">
        <f t="shared" si="65"/>
        <v>1260016.6666666667</v>
      </c>
      <c r="BD206" s="25">
        <f t="shared" si="65"/>
        <v>1713250</v>
      </c>
      <c r="BE206" s="25">
        <f t="shared" si="65"/>
        <v>1740250.0000000002</v>
      </c>
      <c r="BF206" s="25">
        <f t="shared" si="65"/>
        <v>1767250</v>
      </c>
      <c r="BG206" s="25">
        <f t="shared" si="65"/>
        <v>1794250</v>
      </c>
      <c r="BH206" s="25">
        <f t="shared" si="65"/>
        <v>1821250.0000000002</v>
      </c>
      <c r="BI206" s="25">
        <f t="shared" si="65"/>
        <v>1870250</v>
      </c>
      <c r="BJ206" s="25">
        <f t="shared" si="65"/>
        <v>1897250</v>
      </c>
      <c r="BK206" s="25">
        <f t="shared" si="65"/>
        <v>1924250.0000000002</v>
      </c>
      <c r="BL206" s="25">
        <f t="shared" si="65"/>
        <v>1951250</v>
      </c>
      <c r="BM206" s="25">
        <f t="shared" si="65"/>
        <v>1978250</v>
      </c>
      <c r="BN206" s="25">
        <f t="shared" si="65"/>
        <v>2048000.0000000002</v>
      </c>
      <c r="BO206" s="25">
        <f t="shared" si="65"/>
        <v>2075000</v>
      </c>
    </row>
    <row r="207" spans="1:67" x14ac:dyDescent="0.25">
      <c r="A207" s="226"/>
      <c r="B207" s="202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</row>
    <row r="208" spans="1:67" x14ac:dyDescent="0.25">
      <c r="A208" s="226" t="str">
        <f>A67</f>
        <v>CEO</v>
      </c>
      <c r="B208" s="202"/>
      <c r="D208" s="223">
        <f t="shared" ref="D208:AI208" si="66">D67+D135+D161</f>
        <v>0</v>
      </c>
      <c r="E208" s="223">
        <f t="shared" si="66"/>
        <v>0</v>
      </c>
      <c r="F208" s="223">
        <f t="shared" si="66"/>
        <v>0</v>
      </c>
      <c r="G208" s="223">
        <f t="shared" si="66"/>
        <v>0</v>
      </c>
      <c r="H208" s="51">
        <f t="shared" si="66"/>
        <v>20666.666666666668</v>
      </c>
      <c r="I208" s="51">
        <f t="shared" si="66"/>
        <v>20666.666666666668</v>
      </c>
      <c r="J208" s="51">
        <f t="shared" si="66"/>
        <v>20666.666666666668</v>
      </c>
      <c r="K208" s="51">
        <f t="shared" si="66"/>
        <v>20666.666666666668</v>
      </c>
      <c r="L208" s="51">
        <f t="shared" si="66"/>
        <v>20666.666666666668</v>
      </c>
      <c r="M208" s="51">
        <f t="shared" si="66"/>
        <v>20666.666666666668</v>
      </c>
      <c r="N208" s="51">
        <f t="shared" si="66"/>
        <v>20666.666666666668</v>
      </c>
      <c r="O208" s="51">
        <f t="shared" si="66"/>
        <v>20666.666666666668</v>
      </c>
      <c r="P208" s="51">
        <f t="shared" si="66"/>
        <v>20666.666666666668</v>
      </c>
      <c r="Q208" s="51">
        <f t="shared" si="66"/>
        <v>20666.666666666668</v>
      </c>
      <c r="R208" s="51">
        <f t="shared" si="66"/>
        <v>20666.666666666668</v>
      </c>
      <c r="S208" s="51">
        <f t="shared" si="66"/>
        <v>20666.666666666668</v>
      </c>
      <c r="T208" s="51">
        <f t="shared" si="66"/>
        <v>25833.333333333332</v>
      </c>
      <c r="U208" s="51">
        <f t="shared" si="66"/>
        <v>25833.333333333332</v>
      </c>
      <c r="V208" s="51">
        <f t="shared" si="66"/>
        <v>25833.333333333332</v>
      </c>
      <c r="W208" s="51">
        <f t="shared" si="66"/>
        <v>25833.333333333332</v>
      </c>
      <c r="X208" s="51">
        <f t="shared" si="66"/>
        <v>25833.333333333332</v>
      </c>
      <c r="Y208" s="51">
        <f t="shared" si="66"/>
        <v>25833.333333333332</v>
      </c>
      <c r="Z208" s="51">
        <f t="shared" si="66"/>
        <v>25833.333333333332</v>
      </c>
      <c r="AA208" s="51">
        <f t="shared" si="66"/>
        <v>25833.333333333332</v>
      </c>
      <c r="AB208" s="51">
        <f t="shared" si="66"/>
        <v>25833.333333333332</v>
      </c>
      <c r="AC208" s="51">
        <f t="shared" si="66"/>
        <v>25833.333333333332</v>
      </c>
      <c r="AD208" s="51">
        <f t="shared" si="66"/>
        <v>25833.333333333332</v>
      </c>
      <c r="AE208" s="51">
        <f t="shared" si="66"/>
        <v>25833.333333333332</v>
      </c>
      <c r="AF208" s="51">
        <f t="shared" si="66"/>
        <v>33066.666666666672</v>
      </c>
      <c r="AG208" s="51">
        <f t="shared" si="66"/>
        <v>33066.666666666672</v>
      </c>
      <c r="AH208" s="51">
        <f t="shared" si="66"/>
        <v>33066.666666666672</v>
      </c>
      <c r="AI208" s="51">
        <f t="shared" si="66"/>
        <v>33066.666666666672</v>
      </c>
      <c r="AJ208" s="51">
        <f t="shared" ref="AJ208:BO208" si="67">AJ67+AJ135+AJ161</f>
        <v>33066.666666666672</v>
      </c>
      <c r="AK208" s="51">
        <f t="shared" si="67"/>
        <v>33066.666666666672</v>
      </c>
      <c r="AL208" s="51">
        <f t="shared" si="67"/>
        <v>33066.666666666672</v>
      </c>
      <c r="AM208" s="51">
        <f t="shared" si="67"/>
        <v>33066.666666666672</v>
      </c>
      <c r="AN208" s="51">
        <f t="shared" si="67"/>
        <v>33066.666666666672</v>
      </c>
      <c r="AO208" s="51">
        <f t="shared" si="67"/>
        <v>33066.666666666672</v>
      </c>
      <c r="AP208" s="51">
        <f t="shared" si="67"/>
        <v>33066.666666666672</v>
      </c>
      <c r="AQ208" s="51">
        <f t="shared" si="67"/>
        <v>33066.666666666672</v>
      </c>
      <c r="AR208" s="51">
        <f t="shared" si="67"/>
        <v>47533.333333333336</v>
      </c>
      <c r="AS208" s="51">
        <f t="shared" si="67"/>
        <v>47533.333333333336</v>
      </c>
      <c r="AT208" s="51">
        <f t="shared" si="67"/>
        <v>47533.333333333336</v>
      </c>
      <c r="AU208" s="51">
        <f t="shared" si="67"/>
        <v>47533.333333333336</v>
      </c>
      <c r="AV208" s="51">
        <f t="shared" si="67"/>
        <v>47533.333333333336</v>
      </c>
      <c r="AW208" s="51">
        <f t="shared" si="67"/>
        <v>47533.333333333336</v>
      </c>
      <c r="AX208" s="51">
        <f t="shared" si="67"/>
        <v>47533.333333333336</v>
      </c>
      <c r="AY208" s="51">
        <f t="shared" si="67"/>
        <v>47533.333333333336</v>
      </c>
      <c r="AZ208" s="51">
        <f t="shared" si="67"/>
        <v>47533.333333333336</v>
      </c>
      <c r="BA208" s="51">
        <f t="shared" si="67"/>
        <v>47533.333333333336</v>
      </c>
      <c r="BB208" s="51">
        <f t="shared" si="67"/>
        <v>47533.333333333336</v>
      </c>
      <c r="BC208" s="51">
        <f t="shared" si="67"/>
        <v>47533.333333333336</v>
      </c>
      <c r="BD208" s="51">
        <f t="shared" si="67"/>
        <v>62000</v>
      </c>
      <c r="BE208" s="51">
        <f t="shared" si="67"/>
        <v>62000</v>
      </c>
      <c r="BF208" s="51">
        <f t="shared" si="67"/>
        <v>62000</v>
      </c>
      <c r="BG208" s="51">
        <f t="shared" si="67"/>
        <v>62000</v>
      </c>
      <c r="BH208" s="51">
        <f t="shared" si="67"/>
        <v>62000</v>
      </c>
      <c r="BI208" s="51">
        <f t="shared" si="67"/>
        <v>62000</v>
      </c>
      <c r="BJ208" s="51">
        <f t="shared" si="67"/>
        <v>62000</v>
      </c>
      <c r="BK208" s="51">
        <f t="shared" si="67"/>
        <v>62000</v>
      </c>
      <c r="BL208" s="51">
        <f t="shared" si="67"/>
        <v>62000</v>
      </c>
      <c r="BM208" s="51">
        <f t="shared" si="67"/>
        <v>62000</v>
      </c>
      <c r="BN208" s="51">
        <f t="shared" si="67"/>
        <v>62000</v>
      </c>
      <c r="BO208" s="51">
        <f t="shared" si="67"/>
        <v>62000</v>
      </c>
    </row>
    <row r="209" spans="1:67" x14ac:dyDescent="0.25">
      <c r="A209" s="226" t="str">
        <f>A68</f>
        <v>VP Operations</v>
      </c>
      <c r="B209" s="202"/>
      <c r="D209" s="223">
        <f t="shared" ref="D209:AI209" si="68">D68+D136+D162</f>
        <v>0</v>
      </c>
      <c r="E209" s="223">
        <f t="shared" si="68"/>
        <v>0</v>
      </c>
      <c r="F209" s="223">
        <f t="shared" si="68"/>
        <v>0</v>
      </c>
      <c r="G209" s="223">
        <f t="shared" si="68"/>
        <v>0</v>
      </c>
      <c r="H209" s="51">
        <f t="shared" si="68"/>
        <v>13166.666666666666</v>
      </c>
      <c r="I209" s="51">
        <f t="shared" si="68"/>
        <v>13166.666666666666</v>
      </c>
      <c r="J209" s="51">
        <f t="shared" si="68"/>
        <v>13166.666666666666</v>
      </c>
      <c r="K209" s="51">
        <f t="shared" si="68"/>
        <v>13166.666666666666</v>
      </c>
      <c r="L209" s="51">
        <f t="shared" si="68"/>
        <v>13166.666666666666</v>
      </c>
      <c r="M209" s="51">
        <f t="shared" si="68"/>
        <v>13166.666666666666</v>
      </c>
      <c r="N209" s="51">
        <f t="shared" si="68"/>
        <v>13166.666666666666</v>
      </c>
      <c r="O209" s="51">
        <f t="shared" si="68"/>
        <v>13166.666666666666</v>
      </c>
      <c r="P209" s="51">
        <f t="shared" si="68"/>
        <v>13166.666666666666</v>
      </c>
      <c r="Q209" s="51">
        <f t="shared" si="68"/>
        <v>13166.666666666666</v>
      </c>
      <c r="R209" s="51">
        <f t="shared" si="68"/>
        <v>13166.666666666666</v>
      </c>
      <c r="S209" s="51">
        <f t="shared" si="68"/>
        <v>13166.666666666666</v>
      </c>
      <c r="T209" s="51">
        <f t="shared" si="68"/>
        <v>16458.333333333336</v>
      </c>
      <c r="U209" s="51">
        <f t="shared" si="68"/>
        <v>16458.333333333336</v>
      </c>
      <c r="V209" s="51">
        <f t="shared" si="68"/>
        <v>16458.333333333336</v>
      </c>
      <c r="W209" s="51">
        <f t="shared" si="68"/>
        <v>16458.333333333336</v>
      </c>
      <c r="X209" s="51">
        <f t="shared" si="68"/>
        <v>16458.333333333336</v>
      </c>
      <c r="Y209" s="51">
        <f t="shared" si="68"/>
        <v>16458.333333333336</v>
      </c>
      <c r="Z209" s="51">
        <f t="shared" si="68"/>
        <v>16458.333333333336</v>
      </c>
      <c r="AA209" s="51">
        <f t="shared" si="68"/>
        <v>16458.333333333336</v>
      </c>
      <c r="AB209" s="51">
        <f t="shared" si="68"/>
        <v>16458.333333333336</v>
      </c>
      <c r="AC209" s="51">
        <f t="shared" si="68"/>
        <v>16458.333333333336</v>
      </c>
      <c r="AD209" s="51">
        <f t="shared" si="68"/>
        <v>16458.333333333336</v>
      </c>
      <c r="AE209" s="51">
        <f t="shared" si="68"/>
        <v>16458.333333333336</v>
      </c>
      <c r="AF209" s="51">
        <f t="shared" si="68"/>
        <v>21066.666666666668</v>
      </c>
      <c r="AG209" s="51">
        <f t="shared" si="68"/>
        <v>21066.666666666668</v>
      </c>
      <c r="AH209" s="51">
        <f t="shared" si="68"/>
        <v>21066.666666666668</v>
      </c>
      <c r="AI209" s="51">
        <f t="shared" si="68"/>
        <v>21066.666666666668</v>
      </c>
      <c r="AJ209" s="51">
        <f t="shared" ref="AJ209:BO209" si="69">AJ68+AJ136+AJ162</f>
        <v>21066.666666666668</v>
      </c>
      <c r="AK209" s="51">
        <f t="shared" si="69"/>
        <v>21066.666666666668</v>
      </c>
      <c r="AL209" s="51">
        <f t="shared" si="69"/>
        <v>21066.666666666668</v>
      </c>
      <c r="AM209" s="51">
        <f t="shared" si="69"/>
        <v>21066.666666666668</v>
      </c>
      <c r="AN209" s="51">
        <f t="shared" si="69"/>
        <v>21066.666666666668</v>
      </c>
      <c r="AO209" s="51">
        <f t="shared" si="69"/>
        <v>21066.666666666668</v>
      </c>
      <c r="AP209" s="51">
        <f t="shared" si="69"/>
        <v>21066.666666666668</v>
      </c>
      <c r="AQ209" s="51">
        <f t="shared" si="69"/>
        <v>21066.666666666668</v>
      </c>
      <c r="AR209" s="51">
        <f t="shared" si="69"/>
        <v>30283.333333333332</v>
      </c>
      <c r="AS209" s="51">
        <f t="shared" si="69"/>
        <v>30283.333333333332</v>
      </c>
      <c r="AT209" s="51">
        <f t="shared" si="69"/>
        <v>30283.333333333332</v>
      </c>
      <c r="AU209" s="51">
        <f t="shared" si="69"/>
        <v>30283.333333333332</v>
      </c>
      <c r="AV209" s="51">
        <f t="shared" si="69"/>
        <v>30283.333333333332</v>
      </c>
      <c r="AW209" s="51">
        <f t="shared" si="69"/>
        <v>30283.333333333332</v>
      </c>
      <c r="AX209" s="51">
        <f t="shared" si="69"/>
        <v>30283.333333333332</v>
      </c>
      <c r="AY209" s="51">
        <f t="shared" si="69"/>
        <v>30283.333333333332</v>
      </c>
      <c r="AZ209" s="51">
        <f t="shared" si="69"/>
        <v>30283.333333333332</v>
      </c>
      <c r="BA209" s="51">
        <f t="shared" si="69"/>
        <v>30283.333333333332</v>
      </c>
      <c r="BB209" s="51">
        <f t="shared" si="69"/>
        <v>30283.333333333332</v>
      </c>
      <c r="BC209" s="51">
        <f t="shared" si="69"/>
        <v>30283.333333333332</v>
      </c>
      <c r="BD209" s="51">
        <f t="shared" si="69"/>
        <v>39500</v>
      </c>
      <c r="BE209" s="51">
        <f t="shared" si="69"/>
        <v>39500</v>
      </c>
      <c r="BF209" s="51">
        <f t="shared" si="69"/>
        <v>39500</v>
      </c>
      <c r="BG209" s="51">
        <f t="shared" si="69"/>
        <v>39500</v>
      </c>
      <c r="BH209" s="51">
        <f t="shared" si="69"/>
        <v>39500</v>
      </c>
      <c r="BI209" s="51">
        <f t="shared" si="69"/>
        <v>39500</v>
      </c>
      <c r="BJ209" s="51">
        <f t="shared" si="69"/>
        <v>39500</v>
      </c>
      <c r="BK209" s="51">
        <f t="shared" si="69"/>
        <v>39500</v>
      </c>
      <c r="BL209" s="51">
        <f t="shared" si="69"/>
        <v>39500</v>
      </c>
      <c r="BM209" s="51">
        <f t="shared" si="69"/>
        <v>39500</v>
      </c>
      <c r="BN209" s="51">
        <f t="shared" si="69"/>
        <v>39500</v>
      </c>
      <c r="BO209" s="51">
        <f t="shared" si="69"/>
        <v>39500</v>
      </c>
    </row>
    <row r="210" spans="1:67" x14ac:dyDescent="0.25">
      <c r="A210" s="226" t="str">
        <f>A69</f>
        <v>Infrastructure and Database</v>
      </c>
      <c r="B210" s="202"/>
      <c r="D210" s="223">
        <f t="shared" ref="D210:AI210" si="70">D69+D137+D163</f>
        <v>0</v>
      </c>
      <c r="E210" s="223">
        <f t="shared" si="70"/>
        <v>0</v>
      </c>
      <c r="F210" s="223">
        <f t="shared" si="70"/>
        <v>0</v>
      </c>
      <c r="G210" s="223">
        <f t="shared" si="70"/>
        <v>0</v>
      </c>
      <c r="H210" s="51">
        <f t="shared" si="70"/>
        <v>10666.666666666666</v>
      </c>
      <c r="I210" s="51">
        <f t="shared" si="70"/>
        <v>10666.666666666666</v>
      </c>
      <c r="J210" s="51">
        <f t="shared" si="70"/>
        <v>10666.666666666666</v>
      </c>
      <c r="K210" s="51">
        <f t="shared" si="70"/>
        <v>10666.666666666666</v>
      </c>
      <c r="L210" s="51">
        <f t="shared" si="70"/>
        <v>10666.666666666666</v>
      </c>
      <c r="M210" s="51">
        <f t="shared" si="70"/>
        <v>10666.666666666666</v>
      </c>
      <c r="N210" s="51">
        <f t="shared" si="70"/>
        <v>10666.666666666666</v>
      </c>
      <c r="O210" s="51">
        <f t="shared" si="70"/>
        <v>10666.666666666666</v>
      </c>
      <c r="P210" s="51">
        <f t="shared" si="70"/>
        <v>10666.666666666666</v>
      </c>
      <c r="Q210" s="51">
        <f t="shared" si="70"/>
        <v>10666.666666666666</v>
      </c>
      <c r="R210" s="51">
        <f t="shared" si="70"/>
        <v>10666.666666666666</v>
      </c>
      <c r="S210" s="51">
        <f t="shared" si="70"/>
        <v>10666.666666666666</v>
      </c>
      <c r="T210" s="51">
        <f t="shared" si="70"/>
        <v>53333.333333333336</v>
      </c>
      <c r="U210" s="51">
        <f t="shared" si="70"/>
        <v>53333.333333333336</v>
      </c>
      <c r="V210" s="51">
        <f t="shared" si="70"/>
        <v>53333.333333333336</v>
      </c>
      <c r="W210" s="51">
        <f t="shared" si="70"/>
        <v>53333.333333333336</v>
      </c>
      <c r="X210" s="51">
        <f t="shared" si="70"/>
        <v>53333.333333333336</v>
      </c>
      <c r="Y210" s="51">
        <f t="shared" si="70"/>
        <v>53333.333333333336</v>
      </c>
      <c r="Z210" s="51">
        <f t="shared" si="70"/>
        <v>53333.333333333336</v>
      </c>
      <c r="AA210" s="51">
        <f t="shared" si="70"/>
        <v>53333.333333333336</v>
      </c>
      <c r="AB210" s="51">
        <f t="shared" si="70"/>
        <v>53333.333333333336</v>
      </c>
      <c r="AC210" s="51">
        <f t="shared" si="70"/>
        <v>53333.333333333336</v>
      </c>
      <c r="AD210" s="51">
        <f t="shared" si="70"/>
        <v>53333.333333333336</v>
      </c>
      <c r="AE210" s="51">
        <f t="shared" si="70"/>
        <v>53333.333333333336</v>
      </c>
      <c r="AF210" s="51">
        <f t="shared" si="70"/>
        <v>106666.66666666667</v>
      </c>
      <c r="AG210" s="51">
        <f t="shared" si="70"/>
        <v>106666.66666666667</v>
      </c>
      <c r="AH210" s="51">
        <f t="shared" si="70"/>
        <v>106666.66666666667</v>
      </c>
      <c r="AI210" s="51">
        <f t="shared" si="70"/>
        <v>106666.66666666667</v>
      </c>
      <c r="AJ210" s="51">
        <f t="shared" ref="AJ210:BO210" si="71">AJ69+AJ137+AJ163</f>
        <v>106666.66666666667</v>
      </c>
      <c r="AK210" s="51">
        <f t="shared" si="71"/>
        <v>106666.66666666667</v>
      </c>
      <c r="AL210" s="51">
        <f t="shared" si="71"/>
        <v>106666.66666666667</v>
      </c>
      <c r="AM210" s="51">
        <f t="shared" si="71"/>
        <v>106666.66666666667</v>
      </c>
      <c r="AN210" s="51">
        <f t="shared" si="71"/>
        <v>106666.66666666667</v>
      </c>
      <c r="AO210" s="51">
        <f t="shared" si="71"/>
        <v>106666.66666666667</v>
      </c>
      <c r="AP210" s="51">
        <f t="shared" si="71"/>
        <v>106666.66666666667</v>
      </c>
      <c r="AQ210" s="51">
        <f t="shared" si="71"/>
        <v>106666.66666666667</v>
      </c>
      <c r="AR210" s="51">
        <f t="shared" si="71"/>
        <v>170666.66666666666</v>
      </c>
      <c r="AS210" s="51">
        <f t="shared" si="71"/>
        <v>170666.66666666666</v>
      </c>
      <c r="AT210" s="51">
        <f t="shared" si="71"/>
        <v>170666.66666666666</v>
      </c>
      <c r="AU210" s="51">
        <f t="shared" si="71"/>
        <v>170666.66666666666</v>
      </c>
      <c r="AV210" s="51">
        <f t="shared" si="71"/>
        <v>170666.66666666666</v>
      </c>
      <c r="AW210" s="51">
        <f t="shared" si="71"/>
        <v>170666.66666666666</v>
      </c>
      <c r="AX210" s="51">
        <f t="shared" si="71"/>
        <v>170666.66666666666</v>
      </c>
      <c r="AY210" s="51">
        <f t="shared" si="71"/>
        <v>170666.66666666666</v>
      </c>
      <c r="AZ210" s="51">
        <f t="shared" si="71"/>
        <v>170666.66666666666</v>
      </c>
      <c r="BA210" s="51">
        <f t="shared" si="71"/>
        <v>170666.66666666666</v>
      </c>
      <c r="BB210" s="51">
        <f t="shared" si="71"/>
        <v>170666.66666666666</v>
      </c>
      <c r="BC210" s="51">
        <f t="shared" si="71"/>
        <v>170666.66666666666</v>
      </c>
      <c r="BD210" s="51">
        <f t="shared" si="71"/>
        <v>245333.33333333334</v>
      </c>
      <c r="BE210" s="51">
        <f t="shared" si="71"/>
        <v>245333.33333333334</v>
      </c>
      <c r="BF210" s="51">
        <f t="shared" si="71"/>
        <v>245333.33333333334</v>
      </c>
      <c r="BG210" s="51">
        <f t="shared" si="71"/>
        <v>245333.33333333334</v>
      </c>
      <c r="BH210" s="51">
        <f t="shared" si="71"/>
        <v>245333.33333333334</v>
      </c>
      <c r="BI210" s="51">
        <f t="shared" si="71"/>
        <v>245333.33333333334</v>
      </c>
      <c r="BJ210" s="51">
        <f t="shared" si="71"/>
        <v>245333.33333333334</v>
      </c>
      <c r="BK210" s="51">
        <f t="shared" si="71"/>
        <v>245333.33333333334</v>
      </c>
      <c r="BL210" s="51">
        <f t="shared" si="71"/>
        <v>245333.33333333334</v>
      </c>
      <c r="BM210" s="51">
        <f t="shared" si="71"/>
        <v>245333.33333333334</v>
      </c>
      <c r="BN210" s="51">
        <f t="shared" si="71"/>
        <v>245333.33333333334</v>
      </c>
      <c r="BO210" s="51">
        <f t="shared" si="71"/>
        <v>245333.33333333334</v>
      </c>
    </row>
    <row r="211" spans="1:67" x14ac:dyDescent="0.25">
      <c r="A211" s="226" t="str">
        <f>A70</f>
        <v>General Administration</v>
      </c>
      <c r="B211" s="202"/>
      <c r="D211" s="223">
        <f t="shared" ref="D211:AI211" si="72">D70+D138+D164</f>
        <v>0</v>
      </c>
      <c r="E211" s="223">
        <f t="shared" si="72"/>
        <v>0</v>
      </c>
      <c r="F211" s="223">
        <f t="shared" si="72"/>
        <v>0</v>
      </c>
      <c r="G211" s="223">
        <f t="shared" si="72"/>
        <v>0</v>
      </c>
      <c r="H211" s="51">
        <f t="shared" si="72"/>
        <v>5666.666666666667</v>
      </c>
      <c r="I211" s="51">
        <f t="shared" si="72"/>
        <v>5666.666666666667</v>
      </c>
      <c r="J211" s="51">
        <f t="shared" si="72"/>
        <v>5666.666666666667</v>
      </c>
      <c r="K211" s="51">
        <f t="shared" si="72"/>
        <v>5666.666666666667</v>
      </c>
      <c r="L211" s="51">
        <f t="shared" si="72"/>
        <v>5666.666666666667</v>
      </c>
      <c r="M211" s="51">
        <f t="shared" si="72"/>
        <v>5666.666666666667</v>
      </c>
      <c r="N211" s="51">
        <f t="shared" si="72"/>
        <v>5666.666666666667</v>
      </c>
      <c r="O211" s="51">
        <f t="shared" si="72"/>
        <v>5666.666666666667</v>
      </c>
      <c r="P211" s="51">
        <f t="shared" si="72"/>
        <v>5666.666666666667</v>
      </c>
      <c r="Q211" s="51">
        <f t="shared" si="72"/>
        <v>5666.666666666667</v>
      </c>
      <c r="R211" s="51">
        <f t="shared" si="72"/>
        <v>5666.666666666667</v>
      </c>
      <c r="S211" s="51">
        <f t="shared" si="72"/>
        <v>5666.666666666667</v>
      </c>
      <c r="T211" s="51">
        <f t="shared" si="72"/>
        <v>7083.333333333333</v>
      </c>
      <c r="U211" s="51">
        <f t="shared" si="72"/>
        <v>7083.333333333333</v>
      </c>
      <c r="V211" s="51">
        <f t="shared" si="72"/>
        <v>7083.333333333333</v>
      </c>
      <c r="W211" s="51">
        <f t="shared" si="72"/>
        <v>7083.333333333333</v>
      </c>
      <c r="X211" s="51">
        <f t="shared" si="72"/>
        <v>7083.333333333333</v>
      </c>
      <c r="Y211" s="51">
        <f t="shared" si="72"/>
        <v>7083.333333333333</v>
      </c>
      <c r="Z211" s="51">
        <f t="shared" si="72"/>
        <v>7083.333333333333</v>
      </c>
      <c r="AA211" s="51">
        <f t="shared" si="72"/>
        <v>7083.333333333333</v>
      </c>
      <c r="AB211" s="51">
        <f t="shared" si="72"/>
        <v>7083.333333333333</v>
      </c>
      <c r="AC211" s="51">
        <f t="shared" si="72"/>
        <v>7083.333333333333</v>
      </c>
      <c r="AD211" s="51">
        <f t="shared" si="72"/>
        <v>7083.333333333333</v>
      </c>
      <c r="AE211" s="51">
        <f t="shared" si="72"/>
        <v>7083.333333333333</v>
      </c>
      <c r="AF211" s="51">
        <f t="shared" si="72"/>
        <v>9066.6666666666661</v>
      </c>
      <c r="AG211" s="51">
        <f t="shared" si="72"/>
        <v>9066.6666666666661</v>
      </c>
      <c r="AH211" s="51">
        <f t="shared" si="72"/>
        <v>9066.6666666666661</v>
      </c>
      <c r="AI211" s="51">
        <f t="shared" si="72"/>
        <v>9066.6666666666661</v>
      </c>
      <c r="AJ211" s="51">
        <f t="shared" ref="AJ211:BO211" si="73">AJ70+AJ138+AJ164</f>
        <v>9066.6666666666661</v>
      </c>
      <c r="AK211" s="51">
        <f t="shared" si="73"/>
        <v>9066.6666666666661</v>
      </c>
      <c r="AL211" s="51">
        <f t="shared" si="73"/>
        <v>9066.6666666666661</v>
      </c>
      <c r="AM211" s="51">
        <f t="shared" si="73"/>
        <v>9066.6666666666661</v>
      </c>
      <c r="AN211" s="51">
        <f t="shared" si="73"/>
        <v>9066.6666666666661</v>
      </c>
      <c r="AO211" s="51">
        <f t="shared" si="73"/>
        <v>9066.6666666666661</v>
      </c>
      <c r="AP211" s="51">
        <f t="shared" si="73"/>
        <v>9066.6666666666661</v>
      </c>
      <c r="AQ211" s="51">
        <f t="shared" si="73"/>
        <v>9066.6666666666661</v>
      </c>
      <c r="AR211" s="51">
        <f t="shared" si="73"/>
        <v>18741.666666666668</v>
      </c>
      <c r="AS211" s="51">
        <f t="shared" si="73"/>
        <v>18741.666666666668</v>
      </c>
      <c r="AT211" s="51">
        <f t="shared" si="73"/>
        <v>18741.666666666668</v>
      </c>
      <c r="AU211" s="51">
        <f t="shared" si="73"/>
        <v>18741.666666666668</v>
      </c>
      <c r="AV211" s="51">
        <f t="shared" si="73"/>
        <v>18741.666666666668</v>
      </c>
      <c r="AW211" s="51">
        <f t="shared" si="73"/>
        <v>18741.666666666668</v>
      </c>
      <c r="AX211" s="51">
        <f t="shared" si="73"/>
        <v>18741.666666666668</v>
      </c>
      <c r="AY211" s="51">
        <f t="shared" si="73"/>
        <v>18741.666666666668</v>
      </c>
      <c r="AZ211" s="51">
        <f t="shared" si="73"/>
        <v>18741.666666666668</v>
      </c>
      <c r="BA211" s="51">
        <f t="shared" si="73"/>
        <v>18741.666666666668</v>
      </c>
      <c r="BB211" s="51">
        <f t="shared" si="73"/>
        <v>18741.666666666668</v>
      </c>
      <c r="BC211" s="51">
        <f t="shared" si="73"/>
        <v>18741.666666666668</v>
      </c>
      <c r="BD211" s="51">
        <f t="shared" si="73"/>
        <v>17000</v>
      </c>
      <c r="BE211" s="51">
        <f t="shared" si="73"/>
        <v>17000</v>
      </c>
      <c r="BF211" s="51">
        <f t="shared" si="73"/>
        <v>17000</v>
      </c>
      <c r="BG211" s="51">
        <f t="shared" si="73"/>
        <v>17000</v>
      </c>
      <c r="BH211" s="51">
        <f t="shared" si="73"/>
        <v>17000</v>
      </c>
      <c r="BI211" s="51">
        <f t="shared" si="73"/>
        <v>17000</v>
      </c>
      <c r="BJ211" s="51">
        <f t="shared" si="73"/>
        <v>17000</v>
      </c>
      <c r="BK211" s="51">
        <f t="shared" si="73"/>
        <v>17000</v>
      </c>
      <c r="BL211" s="51">
        <f t="shared" si="73"/>
        <v>17000</v>
      </c>
      <c r="BM211" s="51">
        <f t="shared" si="73"/>
        <v>17000</v>
      </c>
      <c r="BN211" s="51">
        <f t="shared" si="73"/>
        <v>17000</v>
      </c>
      <c r="BO211" s="51">
        <f t="shared" si="73"/>
        <v>17000</v>
      </c>
    </row>
    <row r="212" spans="1:67" s="25" customFormat="1" x14ac:dyDescent="0.25">
      <c r="A212" s="25" t="s">
        <v>243</v>
      </c>
      <c r="B212" s="202">
        <f>MAX(D212:AQ212)</f>
        <v>169866.66666666666</v>
      </c>
      <c r="D212" s="25">
        <f t="shared" ref="D212:AI212" si="74">SUM(D208:D211)</f>
        <v>0</v>
      </c>
      <c r="E212" s="25">
        <f t="shared" si="74"/>
        <v>0</v>
      </c>
      <c r="F212" s="25">
        <f t="shared" si="74"/>
        <v>0</v>
      </c>
      <c r="G212" s="25">
        <f t="shared" si="74"/>
        <v>0</v>
      </c>
      <c r="H212" s="25">
        <f t="shared" si="74"/>
        <v>50166.666666666664</v>
      </c>
      <c r="I212" s="25">
        <f t="shared" si="74"/>
        <v>50166.666666666664</v>
      </c>
      <c r="J212" s="25">
        <f t="shared" si="74"/>
        <v>50166.666666666664</v>
      </c>
      <c r="K212" s="25">
        <f t="shared" si="74"/>
        <v>50166.666666666664</v>
      </c>
      <c r="L212" s="25">
        <f t="shared" si="74"/>
        <v>50166.666666666664</v>
      </c>
      <c r="M212" s="25">
        <f t="shared" si="74"/>
        <v>50166.666666666664</v>
      </c>
      <c r="N212" s="25">
        <f t="shared" si="74"/>
        <v>50166.666666666664</v>
      </c>
      <c r="O212" s="25">
        <f t="shared" si="74"/>
        <v>50166.666666666664</v>
      </c>
      <c r="P212" s="25">
        <f t="shared" si="74"/>
        <v>50166.666666666664</v>
      </c>
      <c r="Q212" s="25">
        <f t="shared" si="74"/>
        <v>50166.666666666664</v>
      </c>
      <c r="R212" s="25">
        <f t="shared" si="74"/>
        <v>50166.666666666664</v>
      </c>
      <c r="S212" s="25">
        <f t="shared" si="74"/>
        <v>50166.666666666664</v>
      </c>
      <c r="T212" s="25">
        <f t="shared" si="74"/>
        <v>102708.33333333333</v>
      </c>
      <c r="U212" s="25">
        <f t="shared" si="74"/>
        <v>102708.33333333333</v>
      </c>
      <c r="V212" s="25">
        <f t="shared" si="74"/>
        <v>102708.33333333333</v>
      </c>
      <c r="W212" s="25">
        <f t="shared" si="74"/>
        <v>102708.33333333333</v>
      </c>
      <c r="X212" s="25">
        <f t="shared" si="74"/>
        <v>102708.33333333333</v>
      </c>
      <c r="Y212" s="25">
        <f t="shared" si="74"/>
        <v>102708.33333333333</v>
      </c>
      <c r="Z212" s="25">
        <f t="shared" si="74"/>
        <v>102708.33333333333</v>
      </c>
      <c r="AA212" s="25">
        <f t="shared" si="74"/>
        <v>102708.33333333333</v>
      </c>
      <c r="AB212" s="25">
        <f t="shared" si="74"/>
        <v>102708.33333333333</v>
      </c>
      <c r="AC212" s="25">
        <f t="shared" si="74"/>
        <v>102708.33333333333</v>
      </c>
      <c r="AD212" s="25">
        <f t="shared" si="74"/>
        <v>102708.33333333333</v>
      </c>
      <c r="AE212" s="25">
        <f t="shared" si="74"/>
        <v>102708.33333333333</v>
      </c>
      <c r="AF212" s="25">
        <f t="shared" si="74"/>
        <v>169866.66666666666</v>
      </c>
      <c r="AG212" s="25">
        <f t="shared" si="74"/>
        <v>169866.66666666666</v>
      </c>
      <c r="AH212" s="25">
        <f t="shared" si="74"/>
        <v>169866.66666666666</v>
      </c>
      <c r="AI212" s="25">
        <f t="shared" si="74"/>
        <v>169866.66666666666</v>
      </c>
      <c r="AJ212" s="25">
        <f t="shared" ref="AJ212:BO212" si="75">SUM(AJ208:AJ211)</f>
        <v>169866.66666666666</v>
      </c>
      <c r="AK212" s="25">
        <f t="shared" si="75"/>
        <v>169866.66666666666</v>
      </c>
      <c r="AL212" s="25">
        <f t="shared" si="75"/>
        <v>169866.66666666666</v>
      </c>
      <c r="AM212" s="25">
        <f t="shared" si="75"/>
        <v>169866.66666666666</v>
      </c>
      <c r="AN212" s="25">
        <f t="shared" si="75"/>
        <v>169866.66666666666</v>
      </c>
      <c r="AO212" s="25">
        <f t="shared" si="75"/>
        <v>169866.66666666666</v>
      </c>
      <c r="AP212" s="25">
        <f t="shared" si="75"/>
        <v>169866.66666666666</v>
      </c>
      <c r="AQ212" s="25">
        <f t="shared" si="75"/>
        <v>169866.66666666666</v>
      </c>
      <c r="AR212" s="25">
        <f t="shared" si="75"/>
        <v>267225</v>
      </c>
      <c r="AS212" s="25">
        <f t="shared" si="75"/>
        <v>267225</v>
      </c>
      <c r="AT212" s="25">
        <f t="shared" si="75"/>
        <v>267225</v>
      </c>
      <c r="AU212" s="25">
        <f t="shared" si="75"/>
        <v>267225</v>
      </c>
      <c r="AV212" s="25">
        <f t="shared" si="75"/>
        <v>267225</v>
      </c>
      <c r="AW212" s="25">
        <f t="shared" si="75"/>
        <v>267225</v>
      </c>
      <c r="AX212" s="25">
        <f t="shared" si="75"/>
        <v>267225</v>
      </c>
      <c r="AY212" s="25">
        <f t="shared" si="75"/>
        <v>267225</v>
      </c>
      <c r="AZ212" s="25">
        <f t="shared" si="75"/>
        <v>267225</v>
      </c>
      <c r="BA212" s="25">
        <f t="shared" si="75"/>
        <v>267225</v>
      </c>
      <c r="BB212" s="25">
        <f t="shared" si="75"/>
        <v>267225</v>
      </c>
      <c r="BC212" s="25">
        <f t="shared" si="75"/>
        <v>267225</v>
      </c>
      <c r="BD212" s="25">
        <f t="shared" si="75"/>
        <v>363833.33333333337</v>
      </c>
      <c r="BE212" s="25">
        <f t="shared" si="75"/>
        <v>363833.33333333337</v>
      </c>
      <c r="BF212" s="25">
        <f t="shared" si="75"/>
        <v>363833.33333333337</v>
      </c>
      <c r="BG212" s="25">
        <f t="shared" si="75"/>
        <v>363833.33333333337</v>
      </c>
      <c r="BH212" s="25">
        <f t="shared" si="75"/>
        <v>363833.33333333337</v>
      </c>
      <c r="BI212" s="25">
        <f t="shared" si="75"/>
        <v>363833.33333333337</v>
      </c>
      <c r="BJ212" s="25">
        <f t="shared" si="75"/>
        <v>363833.33333333337</v>
      </c>
      <c r="BK212" s="25">
        <f t="shared" si="75"/>
        <v>363833.33333333337</v>
      </c>
      <c r="BL212" s="25">
        <f t="shared" si="75"/>
        <v>363833.33333333337</v>
      </c>
      <c r="BM212" s="25">
        <f t="shared" si="75"/>
        <v>363833.33333333337</v>
      </c>
      <c r="BN212" s="25">
        <f t="shared" si="75"/>
        <v>363833.33333333337</v>
      </c>
      <c r="BO212" s="25">
        <f t="shared" si="75"/>
        <v>363833.33333333337</v>
      </c>
    </row>
    <row r="213" spans="1:67" x14ac:dyDescent="0.25">
      <c r="A213" s="226"/>
      <c r="B213" s="202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</row>
    <row r="214" spans="1:67" x14ac:dyDescent="0.25">
      <c r="A214" s="226" t="str">
        <f>A88</f>
        <v>Legal</v>
      </c>
      <c r="B214" s="202"/>
      <c r="D214" s="223">
        <f>D88</f>
        <v>900</v>
      </c>
      <c r="E214" s="223">
        <f t="shared" ref="E214:BO216" si="76">E88</f>
        <v>900</v>
      </c>
      <c r="F214" s="223">
        <f t="shared" si="76"/>
        <v>900</v>
      </c>
      <c r="G214" s="223">
        <f t="shared" si="76"/>
        <v>900</v>
      </c>
      <c r="H214" s="51">
        <f t="shared" si="76"/>
        <v>8333.3333333333339</v>
      </c>
      <c r="I214" s="51">
        <f t="shared" si="76"/>
        <v>8333.3333333333339</v>
      </c>
      <c r="J214" s="51">
        <f t="shared" si="76"/>
        <v>8333.3333333333339</v>
      </c>
      <c r="K214" s="51">
        <f t="shared" si="76"/>
        <v>8333.3333333333339</v>
      </c>
      <c r="L214" s="51">
        <f t="shared" si="76"/>
        <v>8333.3333333333339</v>
      </c>
      <c r="M214" s="51">
        <f t="shared" si="76"/>
        <v>8333.3333333333339</v>
      </c>
      <c r="N214" s="51">
        <f t="shared" si="76"/>
        <v>8333.3333333333339</v>
      </c>
      <c r="O214" s="51">
        <f t="shared" si="76"/>
        <v>8333.3333333333339</v>
      </c>
      <c r="P214" s="51">
        <f t="shared" si="76"/>
        <v>8333.3333333333339</v>
      </c>
      <c r="Q214" s="51">
        <f t="shared" si="76"/>
        <v>8333.3333333333339</v>
      </c>
      <c r="R214" s="51">
        <f t="shared" si="76"/>
        <v>8333.3333333333339</v>
      </c>
      <c r="S214" s="51">
        <f t="shared" si="76"/>
        <v>8333.3333333333339</v>
      </c>
      <c r="T214" s="51">
        <f t="shared" si="76"/>
        <v>10416.666666666668</v>
      </c>
      <c r="U214" s="51">
        <f t="shared" si="76"/>
        <v>10416.666666666668</v>
      </c>
      <c r="V214" s="51">
        <f t="shared" si="76"/>
        <v>10416.666666666668</v>
      </c>
      <c r="W214" s="51">
        <f t="shared" si="76"/>
        <v>10416.666666666668</v>
      </c>
      <c r="X214" s="51">
        <f t="shared" si="76"/>
        <v>10416.666666666668</v>
      </c>
      <c r="Y214" s="51">
        <f t="shared" si="76"/>
        <v>10416.666666666668</v>
      </c>
      <c r="Z214" s="51">
        <f t="shared" si="76"/>
        <v>10416.666666666668</v>
      </c>
      <c r="AA214" s="51">
        <f t="shared" si="76"/>
        <v>10416.666666666668</v>
      </c>
      <c r="AB214" s="51">
        <f t="shared" si="76"/>
        <v>10416.666666666668</v>
      </c>
      <c r="AC214" s="51">
        <f t="shared" si="76"/>
        <v>10416.666666666668</v>
      </c>
      <c r="AD214" s="51">
        <f t="shared" si="76"/>
        <v>10416.666666666668</v>
      </c>
      <c r="AE214" s="51">
        <f t="shared" si="76"/>
        <v>10416.666666666668</v>
      </c>
      <c r="AF214" s="51">
        <f t="shared" si="76"/>
        <v>13333.333333333334</v>
      </c>
      <c r="AG214" s="51">
        <f t="shared" si="76"/>
        <v>13333.333333333334</v>
      </c>
      <c r="AH214" s="51">
        <f t="shared" si="76"/>
        <v>13333.333333333334</v>
      </c>
      <c r="AI214" s="51">
        <f t="shared" si="76"/>
        <v>13333.333333333334</v>
      </c>
      <c r="AJ214" s="51">
        <f t="shared" si="76"/>
        <v>13333.333333333334</v>
      </c>
      <c r="AK214" s="51">
        <f t="shared" si="76"/>
        <v>13333.333333333334</v>
      </c>
      <c r="AL214" s="51">
        <f t="shared" si="76"/>
        <v>13333.333333333334</v>
      </c>
      <c r="AM214" s="51">
        <f t="shared" si="76"/>
        <v>13333.333333333334</v>
      </c>
      <c r="AN214" s="51">
        <f t="shared" si="76"/>
        <v>13333.333333333334</v>
      </c>
      <c r="AO214" s="51">
        <f t="shared" si="76"/>
        <v>13333.333333333334</v>
      </c>
      <c r="AP214" s="51">
        <f t="shared" si="76"/>
        <v>13333.333333333334</v>
      </c>
      <c r="AQ214" s="51">
        <f t="shared" si="76"/>
        <v>13333.333333333334</v>
      </c>
      <c r="AR214" s="51">
        <f t="shared" si="76"/>
        <v>19166.666666666668</v>
      </c>
      <c r="AS214" s="51">
        <f t="shared" si="76"/>
        <v>19166.666666666668</v>
      </c>
      <c r="AT214" s="51">
        <f t="shared" si="76"/>
        <v>19166.666666666668</v>
      </c>
      <c r="AU214" s="51">
        <f t="shared" si="76"/>
        <v>19166.666666666668</v>
      </c>
      <c r="AV214" s="51">
        <f t="shared" si="76"/>
        <v>19166.666666666668</v>
      </c>
      <c r="AW214" s="51">
        <f t="shared" si="76"/>
        <v>19166.666666666668</v>
      </c>
      <c r="AX214" s="51">
        <f t="shared" si="76"/>
        <v>19166.666666666668</v>
      </c>
      <c r="AY214" s="51">
        <f t="shared" si="76"/>
        <v>19166.666666666668</v>
      </c>
      <c r="AZ214" s="51">
        <f t="shared" si="76"/>
        <v>19166.666666666668</v>
      </c>
      <c r="BA214" s="51">
        <f t="shared" si="76"/>
        <v>19166.666666666668</v>
      </c>
      <c r="BB214" s="51">
        <f t="shared" si="76"/>
        <v>19166.666666666668</v>
      </c>
      <c r="BC214" s="51">
        <f t="shared" si="76"/>
        <v>19166.666666666668</v>
      </c>
      <c r="BD214" s="51">
        <f t="shared" si="76"/>
        <v>25000</v>
      </c>
      <c r="BE214" s="51">
        <f t="shared" si="76"/>
        <v>25000</v>
      </c>
      <c r="BF214" s="51">
        <f t="shared" si="76"/>
        <v>25000</v>
      </c>
      <c r="BG214" s="51">
        <f t="shared" si="76"/>
        <v>25000</v>
      </c>
      <c r="BH214" s="51">
        <f t="shared" si="76"/>
        <v>25000</v>
      </c>
      <c r="BI214" s="51">
        <f t="shared" si="76"/>
        <v>25000</v>
      </c>
      <c r="BJ214" s="51">
        <f t="shared" si="76"/>
        <v>25000</v>
      </c>
      <c r="BK214" s="51">
        <f t="shared" si="76"/>
        <v>25000</v>
      </c>
      <c r="BL214" s="51">
        <f t="shared" si="76"/>
        <v>25000</v>
      </c>
      <c r="BM214" s="51">
        <f t="shared" si="76"/>
        <v>25000</v>
      </c>
      <c r="BN214" s="51">
        <f t="shared" si="76"/>
        <v>25000</v>
      </c>
      <c r="BO214" s="51">
        <f t="shared" si="76"/>
        <v>25000</v>
      </c>
    </row>
    <row r="215" spans="1:67" x14ac:dyDescent="0.25">
      <c r="A215" s="226" t="str">
        <f>A89</f>
        <v>Litigation Insurance</v>
      </c>
      <c r="B215" s="202"/>
      <c r="D215" s="223">
        <f t="shared" ref="D215:H216" si="77">D89</f>
        <v>700</v>
      </c>
      <c r="E215" s="223">
        <f t="shared" si="77"/>
        <v>700</v>
      </c>
      <c r="F215" s="223">
        <f t="shared" si="77"/>
        <v>700</v>
      </c>
      <c r="G215" s="223">
        <f t="shared" si="77"/>
        <v>700</v>
      </c>
      <c r="H215" s="51">
        <f t="shared" si="77"/>
        <v>1666.6666666666667</v>
      </c>
      <c r="I215" s="51">
        <f t="shared" si="76"/>
        <v>1666.6666666666667</v>
      </c>
      <c r="J215" s="51">
        <f t="shared" si="76"/>
        <v>1666.6666666666667</v>
      </c>
      <c r="K215" s="51">
        <f t="shared" si="76"/>
        <v>1666.6666666666667</v>
      </c>
      <c r="L215" s="51">
        <f t="shared" si="76"/>
        <v>1666.6666666666667</v>
      </c>
      <c r="M215" s="51">
        <f t="shared" si="76"/>
        <v>1666.6666666666667</v>
      </c>
      <c r="N215" s="51">
        <f t="shared" si="76"/>
        <v>1666.6666666666667</v>
      </c>
      <c r="O215" s="51">
        <f t="shared" si="76"/>
        <v>1666.6666666666667</v>
      </c>
      <c r="P215" s="51">
        <f t="shared" si="76"/>
        <v>1666.6666666666667</v>
      </c>
      <c r="Q215" s="51">
        <f t="shared" si="76"/>
        <v>1666.6666666666667</v>
      </c>
      <c r="R215" s="51">
        <f t="shared" si="76"/>
        <v>1666.6666666666667</v>
      </c>
      <c r="S215" s="51">
        <f t="shared" si="76"/>
        <v>1666.6666666666667</v>
      </c>
      <c r="T215" s="51">
        <f t="shared" si="76"/>
        <v>2083.3333333333335</v>
      </c>
      <c r="U215" s="51">
        <f t="shared" si="76"/>
        <v>2083.3333333333335</v>
      </c>
      <c r="V215" s="51">
        <f t="shared" si="76"/>
        <v>2083.3333333333335</v>
      </c>
      <c r="W215" s="51">
        <f t="shared" si="76"/>
        <v>2083.3333333333335</v>
      </c>
      <c r="X215" s="51">
        <f t="shared" si="76"/>
        <v>2083.3333333333335</v>
      </c>
      <c r="Y215" s="51">
        <f t="shared" si="76"/>
        <v>2083.3333333333335</v>
      </c>
      <c r="Z215" s="51">
        <f t="shared" si="76"/>
        <v>2083.3333333333335</v>
      </c>
      <c r="AA215" s="51">
        <f t="shared" si="76"/>
        <v>2083.3333333333335</v>
      </c>
      <c r="AB215" s="51">
        <f t="shared" si="76"/>
        <v>2083.3333333333335</v>
      </c>
      <c r="AC215" s="51">
        <f t="shared" si="76"/>
        <v>2083.3333333333335</v>
      </c>
      <c r="AD215" s="51">
        <f t="shared" si="76"/>
        <v>2083.3333333333335</v>
      </c>
      <c r="AE215" s="51">
        <f t="shared" si="76"/>
        <v>2083.3333333333335</v>
      </c>
      <c r="AF215" s="51">
        <f t="shared" si="76"/>
        <v>2666.666666666667</v>
      </c>
      <c r="AG215" s="51">
        <f t="shared" si="76"/>
        <v>2666.666666666667</v>
      </c>
      <c r="AH215" s="51">
        <f t="shared" si="76"/>
        <v>2666.666666666667</v>
      </c>
      <c r="AI215" s="51">
        <f t="shared" si="76"/>
        <v>2666.666666666667</v>
      </c>
      <c r="AJ215" s="51">
        <f t="shared" si="76"/>
        <v>2666.666666666667</v>
      </c>
      <c r="AK215" s="51">
        <f t="shared" si="76"/>
        <v>2666.666666666667</v>
      </c>
      <c r="AL215" s="51">
        <f t="shared" si="76"/>
        <v>2666.666666666667</v>
      </c>
      <c r="AM215" s="51">
        <f t="shared" si="76"/>
        <v>2666.666666666667</v>
      </c>
      <c r="AN215" s="51">
        <f t="shared" si="76"/>
        <v>2666.666666666667</v>
      </c>
      <c r="AO215" s="51">
        <f t="shared" si="76"/>
        <v>2666.666666666667</v>
      </c>
      <c r="AP215" s="51">
        <f t="shared" si="76"/>
        <v>2666.666666666667</v>
      </c>
      <c r="AQ215" s="51">
        <f t="shared" si="76"/>
        <v>2666.666666666667</v>
      </c>
      <c r="AR215" s="51">
        <f t="shared" si="76"/>
        <v>3833.3333333333339</v>
      </c>
      <c r="AS215" s="51">
        <f t="shared" si="76"/>
        <v>3833.3333333333339</v>
      </c>
      <c r="AT215" s="51">
        <f t="shared" si="76"/>
        <v>3833.3333333333339</v>
      </c>
      <c r="AU215" s="51">
        <f t="shared" si="76"/>
        <v>3833.3333333333339</v>
      </c>
      <c r="AV215" s="51">
        <f t="shared" si="76"/>
        <v>3833.3333333333339</v>
      </c>
      <c r="AW215" s="51">
        <f t="shared" si="76"/>
        <v>3833.3333333333339</v>
      </c>
      <c r="AX215" s="51">
        <f t="shared" si="76"/>
        <v>3833.3333333333339</v>
      </c>
      <c r="AY215" s="51">
        <f t="shared" si="76"/>
        <v>3833.3333333333339</v>
      </c>
      <c r="AZ215" s="51">
        <f t="shared" si="76"/>
        <v>3833.3333333333339</v>
      </c>
      <c r="BA215" s="51">
        <f t="shared" si="76"/>
        <v>3833.3333333333339</v>
      </c>
      <c r="BB215" s="51">
        <f t="shared" si="76"/>
        <v>3833.3333333333339</v>
      </c>
      <c r="BC215" s="51">
        <f t="shared" si="76"/>
        <v>3833.3333333333339</v>
      </c>
      <c r="BD215" s="51">
        <f t="shared" si="76"/>
        <v>5000</v>
      </c>
      <c r="BE215" s="51">
        <f t="shared" si="76"/>
        <v>5000</v>
      </c>
      <c r="BF215" s="51">
        <f t="shared" si="76"/>
        <v>5000</v>
      </c>
      <c r="BG215" s="51">
        <f t="shared" si="76"/>
        <v>5000</v>
      </c>
      <c r="BH215" s="51">
        <f t="shared" si="76"/>
        <v>5000</v>
      </c>
      <c r="BI215" s="51">
        <f t="shared" si="76"/>
        <v>5000</v>
      </c>
      <c r="BJ215" s="51">
        <f t="shared" si="76"/>
        <v>5000</v>
      </c>
      <c r="BK215" s="51">
        <f t="shared" si="76"/>
        <v>5000</v>
      </c>
      <c r="BL215" s="51">
        <f t="shared" si="76"/>
        <v>5000</v>
      </c>
      <c r="BM215" s="51">
        <f t="shared" si="76"/>
        <v>5000</v>
      </c>
      <c r="BN215" s="51">
        <f t="shared" si="76"/>
        <v>5000</v>
      </c>
      <c r="BO215" s="51">
        <f t="shared" si="76"/>
        <v>5000</v>
      </c>
    </row>
    <row r="216" spans="1:67" x14ac:dyDescent="0.25">
      <c r="A216" s="226" t="str">
        <f>A90</f>
        <v>Outsourced Accounting</v>
      </c>
      <c r="B216" s="202"/>
      <c r="D216" s="223">
        <f t="shared" si="77"/>
        <v>0</v>
      </c>
      <c r="E216" s="223">
        <f t="shared" si="77"/>
        <v>0</v>
      </c>
      <c r="F216" s="223">
        <f t="shared" si="77"/>
        <v>0</v>
      </c>
      <c r="G216" s="223">
        <f t="shared" si="77"/>
        <v>0</v>
      </c>
      <c r="H216" s="51">
        <f t="shared" si="77"/>
        <v>3333.3333333333335</v>
      </c>
      <c r="I216" s="51">
        <f t="shared" si="76"/>
        <v>3333.3333333333335</v>
      </c>
      <c r="J216" s="51">
        <f t="shared" si="76"/>
        <v>3333.3333333333335</v>
      </c>
      <c r="K216" s="51">
        <f t="shared" si="76"/>
        <v>3333.3333333333335</v>
      </c>
      <c r="L216" s="51">
        <f t="shared" si="76"/>
        <v>3333.3333333333335</v>
      </c>
      <c r="M216" s="51">
        <f t="shared" si="76"/>
        <v>3333.3333333333335</v>
      </c>
      <c r="N216" s="51">
        <f t="shared" si="76"/>
        <v>3333.3333333333335</v>
      </c>
      <c r="O216" s="51">
        <f t="shared" si="76"/>
        <v>3333.3333333333335</v>
      </c>
      <c r="P216" s="51">
        <f t="shared" si="76"/>
        <v>3333.3333333333335</v>
      </c>
      <c r="Q216" s="51">
        <f t="shared" si="76"/>
        <v>3333.3333333333335</v>
      </c>
      <c r="R216" s="51">
        <f t="shared" si="76"/>
        <v>3333.3333333333335</v>
      </c>
      <c r="S216" s="51">
        <f t="shared" si="76"/>
        <v>3333.3333333333335</v>
      </c>
      <c r="T216" s="51">
        <f t="shared" si="76"/>
        <v>4166.666666666667</v>
      </c>
      <c r="U216" s="51">
        <f t="shared" si="76"/>
        <v>4166.666666666667</v>
      </c>
      <c r="V216" s="51">
        <f t="shared" si="76"/>
        <v>4166.666666666667</v>
      </c>
      <c r="W216" s="51">
        <f t="shared" si="76"/>
        <v>4166.666666666667</v>
      </c>
      <c r="X216" s="51">
        <f t="shared" si="76"/>
        <v>4166.666666666667</v>
      </c>
      <c r="Y216" s="51">
        <f t="shared" si="76"/>
        <v>4166.666666666667</v>
      </c>
      <c r="Z216" s="51">
        <f t="shared" si="76"/>
        <v>4166.666666666667</v>
      </c>
      <c r="AA216" s="51">
        <f t="shared" si="76"/>
        <v>4166.666666666667</v>
      </c>
      <c r="AB216" s="51">
        <f t="shared" si="76"/>
        <v>4166.666666666667</v>
      </c>
      <c r="AC216" s="51">
        <f t="shared" si="76"/>
        <v>4166.666666666667</v>
      </c>
      <c r="AD216" s="51">
        <f t="shared" si="76"/>
        <v>4166.666666666667</v>
      </c>
      <c r="AE216" s="51">
        <f t="shared" si="76"/>
        <v>4166.666666666667</v>
      </c>
      <c r="AF216" s="51">
        <f t="shared" si="76"/>
        <v>5333.3333333333339</v>
      </c>
      <c r="AG216" s="51">
        <f t="shared" si="76"/>
        <v>5333.3333333333339</v>
      </c>
      <c r="AH216" s="51">
        <f t="shared" si="76"/>
        <v>5333.3333333333339</v>
      </c>
      <c r="AI216" s="51">
        <f t="shared" si="76"/>
        <v>5333.3333333333339</v>
      </c>
      <c r="AJ216" s="51">
        <f t="shared" si="76"/>
        <v>5333.3333333333339</v>
      </c>
      <c r="AK216" s="51">
        <f t="shared" si="76"/>
        <v>5333.3333333333339</v>
      </c>
      <c r="AL216" s="51">
        <f t="shared" si="76"/>
        <v>5333.3333333333339</v>
      </c>
      <c r="AM216" s="51">
        <f t="shared" si="76"/>
        <v>5333.3333333333339</v>
      </c>
      <c r="AN216" s="51">
        <f t="shared" si="76"/>
        <v>5333.3333333333339</v>
      </c>
      <c r="AO216" s="51">
        <f t="shared" si="76"/>
        <v>5333.3333333333339</v>
      </c>
      <c r="AP216" s="51">
        <f t="shared" si="76"/>
        <v>5333.3333333333339</v>
      </c>
      <c r="AQ216" s="51">
        <f t="shared" si="76"/>
        <v>5333.3333333333339</v>
      </c>
      <c r="AR216" s="51">
        <f t="shared" si="76"/>
        <v>7666.6666666666679</v>
      </c>
      <c r="AS216" s="51">
        <f t="shared" si="76"/>
        <v>7666.6666666666679</v>
      </c>
      <c r="AT216" s="51">
        <f t="shared" si="76"/>
        <v>7666.6666666666679</v>
      </c>
      <c r="AU216" s="51">
        <f t="shared" si="76"/>
        <v>7666.6666666666679</v>
      </c>
      <c r="AV216" s="51">
        <f t="shared" si="76"/>
        <v>7666.6666666666679</v>
      </c>
      <c r="AW216" s="51">
        <f t="shared" si="76"/>
        <v>7666.6666666666679</v>
      </c>
      <c r="AX216" s="51">
        <f t="shared" si="76"/>
        <v>7666.6666666666679</v>
      </c>
      <c r="AY216" s="51">
        <f t="shared" si="76"/>
        <v>7666.6666666666679</v>
      </c>
      <c r="AZ216" s="51">
        <f t="shared" si="76"/>
        <v>7666.6666666666679</v>
      </c>
      <c r="BA216" s="51">
        <f t="shared" si="76"/>
        <v>7666.6666666666679</v>
      </c>
      <c r="BB216" s="51">
        <f t="shared" si="76"/>
        <v>7666.6666666666679</v>
      </c>
      <c r="BC216" s="51">
        <f t="shared" si="76"/>
        <v>7666.6666666666679</v>
      </c>
      <c r="BD216" s="51">
        <f t="shared" si="76"/>
        <v>10000</v>
      </c>
      <c r="BE216" s="51">
        <f t="shared" si="76"/>
        <v>10000</v>
      </c>
      <c r="BF216" s="51">
        <f t="shared" si="76"/>
        <v>10000</v>
      </c>
      <c r="BG216" s="51">
        <f t="shared" si="76"/>
        <v>10000</v>
      </c>
      <c r="BH216" s="51">
        <f t="shared" si="76"/>
        <v>10000</v>
      </c>
      <c r="BI216" s="51">
        <f t="shared" si="76"/>
        <v>10000</v>
      </c>
      <c r="BJ216" s="51">
        <f t="shared" si="76"/>
        <v>10000</v>
      </c>
      <c r="BK216" s="51">
        <f t="shared" si="76"/>
        <v>10000</v>
      </c>
      <c r="BL216" s="51">
        <f t="shared" si="76"/>
        <v>10000</v>
      </c>
      <c r="BM216" s="51">
        <f t="shared" si="76"/>
        <v>10000</v>
      </c>
      <c r="BN216" s="51">
        <f t="shared" si="76"/>
        <v>10000</v>
      </c>
      <c r="BO216" s="51">
        <f t="shared" si="76"/>
        <v>10000</v>
      </c>
    </row>
    <row r="217" spans="1:67" x14ac:dyDescent="0.25">
      <c r="A217" s="226" t="str">
        <f>A93</f>
        <v>Office Space</v>
      </c>
      <c r="B217" s="202"/>
      <c r="D217" s="223">
        <f>D93</f>
        <v>4500</v>
      </c>
      <c r="E217" s="223">
        <f t="shared" ref="E217:BO218" si="78">E93</f>
        <v>4500</v>
      </c>
      <c r="F217" s="223">
        <f t="shared" si="78"/>
        <v>4500</v>
      </c>
      <c r="G217" s="223">
        <f t="shared" si="78"/>
        <v>4500</v>
      </c>
      <c r="H217" s="51">
        <f t="shared" si="78"/>
        <v>10000</v>
      </c>
      <c r="I217" s="51">
        <f t="shared" si="78"/>
        <v>10000</v>
      </c>
      <c r="J217" s="51">
        <f t="shared" si="78"/>
        <v>10000</v>
      </c>
      <c r="K217" s="51">
        <f t="shared" si="78"/>
        <v>10000</v>
      </c>
      <c r="L217" s="51">
        <f t="shared" si="78"/>
        <v>10000</v>
      </c>
      <c r="M217" s="51">
        <f t="shared" si="78"/>
        <v>10000</v>
      </c>
      <c r="N217" s="51">
        <f t="shared" si="78"/>
        <v>10000</v>
      </c>
      <c r="O217" s="51">
        <f t="shared" si="78"/>
        <v>10000</v>
      </c>
      <c r="P217" s="51">
        <f t="shared" si="78"/>
        <v>10000</v>
      </c>
      <c r="Q217" s="51">
        <f t="shared" si="78"/>
        <v>10000</v>
      </c>
      <c r="R217" s="51">
        <f t="shared" si="78"/>
        <v>10000</v>
      </c>
      <c r="S217" s="51">
        <f t="shared" si="78"/>
        <v>10000</v>
      </c>
      <c r="T217" s="51">
        <f t="shared" si="78"/>
        <v>12500</v>
      </c>
      <c r="U217" s="51">
        <f t="shared" si="78"/>
        <v>12500</v>
      </c>
      <c r="V217" s="51">
        <f t="shared" si="78"/>
        <v>12500</v>
      </c>
      <c r="W217" s="51">
        <f t="shared" si="78"/>
        <v>12500</v>
      </c>
      <c r="X217" s="51">
        <f t="shared" si="78"/>
        <v>12500</v>
      </c>
      <c r="Y217" s="51">
        <f t="shared" si="78"/>
        <v>12500</v>
      </c>
      <c r="Z217" s="51">
        <f t="shared" si="78"/>
        <v>12500</v>
      </c>
      <c r="AA217" s="51">
        <f t="shared" si="78"/>
        <v>12500</v>
      </c>
      <c r="AB217" s="51">
        <f t="shared" si="78"/>
        <v>12500</v>
      </c>
      <c r="AC217" s="51">
        <f t="shared" si="78"/>
        <v>12500</v>
      </c>
      <c r="AD217" s="51">
        <f t="shared" si="78"/>
        <v>12500</v>
      </c>
      <c r="AE217" s="51">
        <f t="shared" si="78"/>
        <v>12500</v>
      </c>
      <c r="AF217" s="51">
        <f t="shared" si="78"/>
        <v>16000</v>
      </c>
      <c r="AG217" s="51">
        <f t="shared" si="78"/>
        <v>16000</v>
      </c>
      <c r="AH217" s="51">
        <f t="shared" si="78"/>
        <v>16000</v>
      </c>
      <c r="AI217" s="51">
        <f t="shared" si="78"/>
        <v>16000</v>
      </c>
      <c r="AJ217" s="51">
        <f t="shared" si="78"/>
        <v>16000</v>
      </c>
      <c r="AK217" s="51">
        <f t="shared" si="78"/>
        <v>16000</v>
      </c>
      <c r="AL217" s="51">
        <f t="shared" si="78"/>
        <v>16000</v>
      </c>
      <c r="AM217" s="51">
        <f t="shared" si="78"/>
        <v>16000</v>
      </c>
      <c r="AN217" s="51">
        <f t="shared" si="78"/>
        <v>16000</v>
      </c>
      <c r="AO217" s="51">
        <f t="shared" si="78"/>
        <v>16000</v>
      </c>
      <c r="AP217" s="51">
        <f t="shared" si="78"/>
        <v>16000</v>
      </c>
      <c r="AQ217" s="51">
        <f t="shared" si="78"/>
        <v>16000</v>
      </c>
      <c r="AR217" s="51">
        <f t="shared" si="78"/>
        <v>23000</v>
      </c>
      <c r="AS217" s="51">
        <f t="shared" si="78"/>
        <v>23000</v>
      </c>
      <c r="AT217" s="51">
        <f t="shared" si="78"/>
        <v>23000</v>
      </c>
      <c r="AU217" s="51">
        <f t="shared" si="78"/>
        <v>23000</v>
      </c>
      <c r="AV217" s="51">
        <f t="shared" si="78"/>
        <v>23000</v>
      </c>
      <c r="AW217" s="51">
        <f t="shared" si="78"/>
        <v>23000</v>
      </c>
      <c r="AX217" s="51">
        <f t="shared" si="78"/>
        <v>23000</v>
      </c>
      <c r="AY217" s="51">
        <f t="shared" si="78"/>
        <v>23000</v>
      </c>
      <c r="AZ217" s="51">
        <f t="shared" si="78"/>
        <v>23000</v>
      </c>
      <c r="BA217" s="51">
        <f t="shared" si="78"/>
        <v>23000</v>
      </c>
      <c r="BB217" s="51">
        <f t="shared" si="78"/>
        <v>23000</v>
      </c>
      <c r="BC217" s="51">
        <f t="shared" si="78"/>
        <v>23000</v>
      </c>
      <c r="BD217" s="51">
        <f t="shared" si="78"/>
        <v>30000</v>
      </c>
      <c r="BE217" s="51">
        <f t="shared" si="78"/>
        <v>30000</v>
      </c>
      <c r="BF217" s="51">
        <f t="shared" si="78"/>
        <v>30000</v>
      </c>
      <c r="BG217" s="51">
        <f t="shared" si="78"/>
        <v>30000</v>
      </c>
      <c r="BH217" s="51">
        <f t="shared" si="78"/>
        <v>30000</v>
      </c>
      <c r="BI217" s="51">
        <f t="shared" si="78"/>
        <v>30000</v>
      </c>
      <c r="BJ217" s="51">
        <f t="shared" si="78"/>
        <v>30000</v>
      </c>
      <c r="BK217" s="51">
        <f t="shared" si="78"/>
        <v>30000</v>
      </c>
      <c r="BL217" s="51">
        <f t="shared" si="78"/>
        <v>30000</v>
      </c>
      <c r="BM217" s="51">
        <f t="shared" si="78"/>
        <v>30000</v>
      </c>
      <c r="BN217" s="51">
        <f t="shared" si="78"/>
        <v>30000</v>
      </c>
      <c r="BO217" s="51">
        <f t="shared" si="78"/>
        <v>30000</v>
      </c>
    </row>
    <row r="218" spans="1:67" x14ac:dyDescent="0.25">
      <c r="A218" s="226" t="str">
        <f>A94</f>
        <v>Miscellaneous</v>
      </c>
      <c r="B218" s="202"/>
      <c r="D218" s="223">
        <f>D94</f>
        <v>1000</v>
      </c>
      <c r="E218" s="223">
        <f t="shared" si="78"/>
        <v>1000</v>
      </c>
      <c r="F218" s="223">
        <f t="shared" si="78"/>
        <v>1000</v>
      </c>
      <c r="G218" s="223">
        <f t="shared" si="78"/>
        <v>1000</v>
      </c>
      <c r="H218" s="51">
        <f t="shared" si="78"/>
        <v>1000</v>
      </c>
      <c r="I218" s="51">
        <f t="shared" si="78"/>
        <v>1000</v>
      </c>
      <c r="J218" s="51">
        <f t="shared" si="78"/>
        <v>1000</v>
      </c>
      <c r="K218" s="51">
        <f t="shared" si="78"/>
        <v>1000</v>
      </c>
      <c r="L218" s="51">
        <f t="shared" si="78"/>
        <v>1000</v>
      </c>
      <c r="M218" s="51">
        <f t="shared" si="78"/>
        <v>1000</v>
      </c>
      <c r="N218" s="51">
        <f t="shared" si="78"/>
        <v>1000</v>
      </c>
      <c r="O218" s="51">
        <f t="shared" si="78"/>
        <v>1000</v>
      </c>
      <c r="P218" s="51">
        <f t="shared" si="78"/>
        <v>1000</v>
      </c>
      <c r="Q218" s="51">
        <f t="shared" si="78"/>
        <v>1000</v>
      </c>
      <c r="R218" s="51">
        <f t="shared" si="78"/>
        <v>1000</v>
      </c>
      <c r="S218" s="51">
        <f t="shared" si="78"/>
        <v>1000</v>
      </c>
      <c r="T218" s="51">
        <f t="shared" si="78"/>
        <v>1250</v>
      </c>
      <c r="U218" s="51">
        <f t="shared" si="78"/>
        <v>1250</v>
      </c>
      <c r="V218" s="51">
        <f t="shared" si="78"/>
        <v>1250</v>
      </c>
      <c r="W218" s="51">
        <f t="shared" si="78"/>
        <v>1250</v>
      </c>
      <c r="X218" s="51">
        <f t="shared" si="78"/>
        <v>1250</v>
      </c>
      <c r="Y218" s="51">
        <f t="shared" si="78"/>
        <v>1250</v>
      </c>
      <c r="Z218" s="51">
        <f t="shared" si="78"/>
        <v>1250</v>
      </c>
      <c r="AA218" s="51">
        <f t="shared" si="78"/>
        <v>1250</v>
      </c>
      <c r="AB218" s="51">
        <f t="shared" si="78"/>
        <v>1250</v>
      </c>
      <c r="AC218" s="51">
        <f t="shared" si="78"/>
        <v>1250</v>
      </c>
      <c r="AD218" s="51">
        <f t="shared" si="78"/>
        <v>1250</v>
      </c>
      <c r="AE218" s="51">
        <f t="shared" si="78"/>
        <v>1250</v>
      </c>
      <c r="AF218" s="51">
        <f t="shared" si="78"/>
        <v>1600</v>
      </c>
      <c r="AG218" s="51">
        <f t="shared" si="78"/>
        <v>1600</v>
      </c>
      <c r="AH218" s="51">
        <f t="shared" si="78"/>
        <v>1600</v>
      </c>
      <c r="AI218" s="51">
        <f t="shared" si="78"/>
        <v>1600</v>
      </c>
      <c r="AJ218" s="51">
        <f t="shared" si="78"/>
        <v>1600</v>
      </c>
      <c r="AK218" s="51">
        <f t="shared" si="78"/>
        <v>1600</v>
      </c>
      <c r="AL218" s="51">
        <f t="shared" si="78"/>
        <v>1600</v>
      </c>
      <c r="AM218" s="51">
        <f t="shared" si="78"/>
        <v>1600</v>
      </c>
      <c r="AN218" s="51">
        <f t="shared" si="78"/>
        <v>1600</v>
      </c>
      <c r="AO218" s="51">
        <f t="shared" si="78"/>
        <v>1600</v>
      </c>
      <c r="AP218" s="51">
        <f t="shared" si="78"/>
        <v>1600</v>
      </c>
      <c r="AQ218" s="51">
        <f t="shared" si="78"/>
        <v>1600</v>
      </c>
      <c r="AR218" s="51">
        <f t="shared" si="78"/>
        <v>2300</v>
      </c>
      <c r="AS218" s="51">
        <f t="shared" si="78"/>
        <v>2300</v>
      </c>
      <c r="AT218" s="51">
        <f t="shared" si="78"/>
        <v>2300</v>
      </c>
      <c r="AU218" s="51">
        <f t="shared" si="78"/>
        <v>2300</v>
      </c>
      <c r="AV218" s="51">
        <f t="shared" si="78"/>
        <v>2300</v>
      </c>
      <c r="AW218" s="51">
        <f t="shared" si="78"/>
        <v>2300</v>
      </c>
      <c r="AX218" s="51">
        <f t="shared" si="78"/>
        <v>2300</v>
      </c>
      <c r="AY218" s="51">
        <f t="shared" si="78"/>
        <v>2300</v>
      </c>
      <c r="AZ218" s="51">
        <f t="shared" si="78"/>
        <v>2300</v>
      </c>
      <c r="BA218" s="51">
        <f t="shared" si="78"/>
        <v>2300</v>
      </c>
      <c r="BB218" s="51">
        <f t="shared" si="78"/>
        <v>2300</v>
      </c>
      <c r="BC218" s="51">
        <f t="shared" si="78"/>
        <v>2300</v>
      </c>
      <c r="BD218" s="51">
        <f t="shared" si="78"/>
        <v>3000</v>
      </c>
      <c r="BE218" s="51">
        <f t="shared" si="78"/>
        <v>3000</v>
      </c>
      <c r="BF218" s="51">
        <f t="shared" si="78"/>
        <v>3000</v>
      </c>
      <c r="BG218" s="51">
        <f t="shared" si="78"/>
        <v>3000</v>
      </c>
      <c r="BH218" s="51">
        <f t="shared" si="78"/>
        <v>3000</v>
      </c>
      <c r="BI218" s="51">
        <f t="shared" si="78"/>
        <v>3000</v>
      </c>
      <c r="BJ218" s="51">
        <f t="shared" si="78"/>
        <v>3000</v>
      </c>
      <c r="BK218" s="51">
        <f t="shared" si="78"/>
        <v>3000</v>
      </c>
      <c r="BL218" s="51">
        <f t="shared" si="78"/>
        <v>3000</v>
      </c>
      <c r="BM218" s="51">
        <f t="shared" si="78"/>
        <v>3000</v>
      </c>
      <c r="BN218" s="51">
        <f t="shared" si="78"/>
        <v>3000</v>
      </c>
      <c r="BO218" s="51">
        <f t="shared" si="78"/>
        <v>3000</v>
      </c>
    </row>
    <row r="219" spans="1:67" s="25" customFormat="1" x14ac:dyDescent="0.25">
      <c r="A219" s="25" t="s">
        <v>243</v>
      </c>
      <c r="B219" s="202">
        <f>MAX(D219:AQ219)</f>
        <v>38933.333333333336</v>
      </c>
      <c r="D219" s="25">
        <f>SUM(D214:D218)</f>
        <v>7100</v>
      </c>
      <c r="E219" s="25">
        <f t="shared" ref="E219:BO219" si="79">SUM(E214:E218)</f>
        <v>7100</v>
      </c>
      <c r="F219" s="25">
        <f t="shared" si="79"/>
        <v>7100</v>
      </c>
      <c r="G219" s="25">
        <f t="shared" si="79"/>
        <v>7100</v>
      </c>
      <c r="H219" s="25">
        <f t="shared" si="79"/>
        <v>24333.333333333336</v>
      </c>
      <c r="I219" s="25">
        <f t="shared" si="79"/>
        <v>24333.333333333336</v>
      </c>
      <c r="J219" s="25">
        <f t="shared" si="79"/>
        <v>24333.333333333336</v>
      </c>
      <c r="K219" s="25">
        <f t="shared" si="79"/>
        <v>24333.333333333336</v>
      </c>
      <c r="L219" s="25">
        <f t="shared" si="79"/>
        <v>24333.333333333336</v>
      </c>
      <c r="M219" s="25">
        <f t="shared" si="79"/>
        <v>24333.333333333336</v>
      </c>
      <c r="N219" s="25">
        <f t="shared" si="79"/>
        <v>24333.333333333336</v>
      </c>
      <c r="O219" s="25">
        <f t="shared" si="79"/>
        <v>24333.333333333336</v>
      </c>
      <c r="P219" s="25">
        <f t="shared" si="79"/>
        <v>24333.333333333336</v>
      </c>
      <c r="Q219" s="25">
        <f t="shared" si="79"/>
        <v>24333.333333333336</v>
      </c>
      <c r="R219" s="25">
        <f t="shared" si="79"/>
        <v>24333.333333333336</v>
      </c>
      <c r="S219" s="25">
        <f t="shared" si="79"/>
        <v>24333.333333333336</v>
      </c>
      <c r="T219" s="25">
        <f t="shared" si="79"/>
        <v>30416.666666666668</v>
      </c>
      <c r="U219" s="25">
        <f t="shared" si="79"/>
        <v>30416.666666666668</v>
      </c>
      <c r="V219" s="25">
        <f t="shared" si="79"/>
        <v>30416.666666666668</v>
      </c>
      <c r="W219" s="25">
        <f t="shared" si="79"/>
        <v>30416.666666666668</v>
      </c>
      <c r="X219" s="25">
        <f t="shared" si="79"/>
        <v>30416.666666666668</v>
      </c>
      <c r="Y219" s="25">
        <f t="shared" si="79"/>
        <v>30416.666666666668</v>
      </c>
      <c r="Z219" s="25">
        <f t="shared" si="79"/>
        <v>30416.666666666668</v>
      </c>
      <c r="AA219" s="25">
        <f t="shared" si="79"/>
        <v>30416.666666666668</v>
      </c>
      <c r="AB219" s="25">
        <f t="shared" si="79"/>
        <v>30416.666666666668</v>
      </c>
      <c r="AC219" s="25">
        <f t="shared" si="79"/>
        <v>30416.666666666668</v>
      </c>
      <c r="AD219" s="25">
        <f t="shared" si="79"/>
        <v>30416.666666666668</v>
      </c>
      <c r="AE219" s="25">
        <f t="shared" si="79"/>
        <v>30416.666666666668</v>
      </c>
      <c r="AF219" s="25">
        <f t="shared" si="79"/>
        <v>38933.333333333336</v>
      </c>
      <c r="AG219" s="25">
        <f t="shared" si="79"/>
        <v>38933.333333333336</v>
      </c>
      <c r="AH219" s="25">
        <f t="shared" si="79"/>
        <v>38933.333333333336</v>
      </c>
      <c r="AI219" s="25">
        <f t="shared" si="79"/>
        <v>38933.333333333336</v>
      </c>
      <c r="AJ219" s="25">
        <f t="shared" si="79"/>
        <v>38933.333333333336</v>
      </c>
      <c r="AK219" s="25">
        <f t="shared" si="79"/>
        <v>38933.333333333336</v>
      </c>
      <c r="AL219" s="25">
        <f t="shared" si="79"/>
        <v>38933.333333333336</v>
      </c>
      <c r="AM219" s="25">
        <f t="shared" si="79"/>
        <v>38933.333333333336</v>
      </c>
      <c r="AN219" s="25">
        <f t="shared" si="79"/>
        <v>38933.333333333336</v>
      </c>
      <c r="AO219" s="25">
        <f t="shared" si="79"/>
        <v>38933.333333333336</v>
      </c>
      <c r="AP219" s="25">
        <f t="shared" si="79"/>
        <v>38933.333333333336</v>
      </c>
      <c r="AQ219" s="25">
        <f t="shared" si="79"/>
        <v>38933.333333333336</v>
      </c>
      <c r="AR219" s="25">
        <f t="shared" si="79"/>
        <v>55966.666666666672</v>
      </c>
      <c r="AS219" s="25">
        <f t="shared" si="79"/>
        <v>55966.666666666672</v>
      </c>
      <c r="AT219" s="25">
        <f t="shared" si="79"/>
        <v>55966.666666666672</v>
      </c>
      <c r="AU219" s="25">
        <f t="shared" si="79"/>
        <v>55966.666666666672</v>
      </c>
      <c r="AV219" s="25">
        <f t="shared" si="79"/>
        <v>55966.666666666672</v>
      </c>
      <c r="AW219" s="25">
        <f t="shared" si="79"/>
        <v>55966.666666666672</v>
      </c>
      <c r="AX219" s="25">
        <f t="shared" si="79"/>
        <v>55966.666666666672</v>
      </c>
      <c r="AY219" s="25">
        <f t="shared" si="79"/>
        <v>55966.666666666672</v>
      </c>
      <c r="AZ219" s="25">
        <f t="shared" si="79"/>
        <v>55966.666666666672</v>
      </c>
      <c r="BA219" s="25">
        <f t="shared" si="79"/>
        <v>55966.666666666672</v>
      </c>
      <c r="BB219" s="25">
        <f t="shared" si="79"/>
        <v>55966.666666666672</v>
      </c>
      <c r="BC219" s="25">
        <f t="shared" si="79"/>
        <v>55966.666666666672</v>
      </c>
      <c r="BD219" s="25">
        <f t="shared" si="79"/>
        <v>73000</v>
      </c>
      <c r="BE219" s="25">
        <f t="shared" si="79"/>
        <v>73000</v>
      </c>
      <c r="BF219" s="25">
        <f t="shared" si="79"/>
        <v>73000</v>
      </c>
      <c r="BG219" s="25">
        <f t="shared" si="79"/>
        <v>73000</v>
      </c>
      <c r="BH219" s="25">
        <f t="shared" si="79"/>
        <v>73000</v>
      </c>
      <c r="BI219" s="25">
        <f t="shared" si="79"/>
        <v>73000</v>
      </c>
      <c r="BJ219" s="25">
        <f t="shared" si="79"/>
        <v>73000</v>
      </c>
      <c r="BK219" s="25">
        <f t="shared" si="79"/>
        <v>73000</v>
      </c>
      <c r="BL219" s="25">
        <f t="shared" si="79"/>
        <v>73000</v>
      </c>
      <c r="BM219" s="25">
        <f t="shared" si="79"/>
        <v>73000</v>
      </c>
      <c r="BN219" s="25">
        <f t="shared" si="79"/>
        <v>73000</v>
      </c>
      <c r="BO219" s="25">
        <f t="shared" si="79"/>
        <v>73000</v>
      </c>
    </row>
    <row r="220" spans="1:67" x14ac:dyDescent="0.25">
      <c r="A220" s="41"/>
      <c r="H220" s="211"/>
    </row>
    <row r="221" spans="1:67" s="162" customFormat="1" x14ac:dyDescent="0.25">
      <c r="A221" s="159" t="s">
        <v>258</v>
      </c>
      <c r="B221" s="202"/>
      <c r="C221" s="161"/>
      <c r="D221" s="161"/>
      <c r="E221" s="161"/>
      <c r="F221" s="161"/>
      <c r="G221" s="161"/>
    </row>
    <row r="222" spans="1:67" x14ac:dyDescent="0.25">
      <c r="A222" s="41"/>
      <c r="H222" s="211"/>
    </row>
    <row r="223" spans="1:67" x14ac:dyDescent="0.25">
      <c r="A223" s="227" t="s">
        <v>259</v>
      </c>
      <c r="B223" s="202"/>
      <c r="H223" s="51">
        <f ca="1">IF(((H45/H10)*Assumptions!$K$37)&gt;=Assumptions!$K$38,Assumptions!$K$38,(H45/H10)*Assumptions!$K$37)</f>
        <v>8049.9999999999991</v>
      </c>
      <c r="I223" s="51">
        <f ca="1">IF(((I45/I10)*Assumptions!$K$37)&gt;=Assumptions!$K$38,Assumptions!$K$38,(I45/I10)*Assumptions!$K$37)</f>
        <v>6439.9999999999982</v>
      </c>
      <c r="J223" s="51">
        <f ca="1">IF(((J45/J10)*Assumptions!$K$37)&gt;=Assumptions!$K$38,Assumptions!$K$38,(J45/J10)*Assumptions!$K$37)</f>
        <v>5634.9999999999991</v>
      </c>
      <c r="K223" s="51">
        <f ca="1">IF(((K45/K10)*Assumptions!$K$37)&gt;=Assumptions!$K$38,Assumptions!$K$38,(K45/K10)*Assumptions!$K$37)</f>
        <v>5473.9999999999991</v>
      </c>
      <c r="L223" s="51">
        <f ca="1">IF(((L45/L10)*Assumptions!$K$37)&gt;=Assumptions!$K$38,Assumptions!$K$38,(L45/L10)*Assumptions!$K$37)</f>
        <v>5635</v>
      </c>
      <c r="M223" s="51">
        <f ca="1">IF(((M45/M10)*Assumptions!$K$37)&gt;=Assumptions!$K$38,Assumptions!$K$38,(M45/M10)*Assumptions!$K$37)</f>
        <v>5979.9999999999982</v>
      </c>
      <c r="N223" s="51">
        <f ca="1">IF(((N45/N10)*Assumptions!$K$37)&gt;=Assumptions!$K$38,Assumptions!$K$38,(N45/N10)*Assumptions!$K$37)</f>
        <v>6439.9999999999982</v>
      </c>
      <c r="O223" s="51">
        <f ca="1">IF(((O45/O10)*Assumptions!$K$37)&gt;=Assumptions!$K$38,Assumptions!$K$38,(O45/O10)*Assumptions!$K$37)</f>
        <v>6976.6666666666661</v>
      </c>
      <c r="P223" s="51">
        <f ca="1">IF(((P45/P10)*Assumptions!$K$37)&gt;=Assumptions!$K$38,Assumptions!$K$38,(P45/P10)*Assumptions!$K$37)</f>
        <v>7566.9999999999973</v>
      </c>
      <c r="Q223" s="51">
        <f ca="1">IF(((Q45/Q10)*Assumptions!$K$37)&gt;=Assumptions!$K$38,Assumptions!$K$38,(Q45/Q10)*Assumptions!$K$37)</f>
        <v>8196.3636363636342</v>
      </c>
      <c r="R223" s="51">
        <f ca="1">IF(((R45/R10)*Assumptions!$K$37)&gt;=Assumptions!$K$38,Assumptions!$K$38,(R45/R10)*Assumptions!$K$37)</f>
        <v>8854.9999999999982</v>
      </c>
      <c r="S223" s="51">
        <f ca="1">IF(((S45/S10)*Assumptions!$K$37)&gt;=Assumptions!$K$38,Assumptions!$K$38,(S45/S10)*Assumptions!$K$37)</f>
        <v>9536.1538461538439</v>
      </c>
      <c r="T223" s="51">
        <f ca="1">IF(((T45/T10)*Assumptions!$K$37)&gt;=Assumptions!$K$38,Assumptions!$K$38,(T45/T10)*Assumptions!$K$37)</f>
        <v>10235</v>
      </c>
      <c r="U223" s="51">
        <f ca="1">IF(((U45/U10)*Assumptions!$K$37)&gt;=Assumptions!$K$38,Assumptions!$K$38,(U45/U10)*Assumptions!$K$37)</f>
        <v>10947.999999999998</v>
      </c>
      <c r="V223" s="51">
        <f ca="1">IF(((V45/V10)*Assumptions!$K$37)&gt;=Assumptions!$K$38,Assumptions!$K$38,(V45/V10)*Assumptions!$K$37)</f>
        <v>11672.499999999998</v>
      </c>
      <c r="W223" s="51">
        <f ca="1">IF(((W45/W10)*Assumptions!$K$37)&gt;=Assumptions!$K$38,Assumptions!$K$38,(W45/W10)*Assumptions!$K$37)</f>
        <v>12406.470588235292</v>
      </c>
      <c r="X223" s="51">
        <f ca="1">IF(((X45/X10)*Assumptions!$K$37)&gt;=Assumptions!$K$38,Assumptions!$K$38,(X45/X10)*Assumptions!$K$37)</f>
        <v>13148.333333333332</v>
      </c>
      <c r="Y223" s="51">
        <f ca="1">IF(((Y45/Y10)*Assumptions!$K$37)&gt;=Assumptions!$K$38,Assumptions!$K$38,(Y45/Y10)*Assumptions!$K$37)</f>
        <v>13896.842105263155</v>
      </c>
      <c r="Z223" s="51">
        <f ca="1">IF(((Z45/Z10)*Assumptions!$K$37)&gt;=Assumptions!$K$38,Assumptions!$K$38,(Z45/Z10)*Assumptions!$K$37)</f>
        <v>14650.999999999998</v>
      </c>
      <c r="AA223" s="51">
        <f ca="1">IF(((AA45/AA10)*Assumptions!$K$37)&gt;=Assumptions!$K$38,Assumptions!$K$38,(AA45/AA10)*Assumptions!$K$37)</f>
        <v>15409.999999999995</v>
      </c>
      <c r="AB223" s="51">
        <f ca="1">IF(((AB45/AB10)*Assumptions!$K$37)&gt;=Assumptions!$K$38,Assumptions!$K$38,(AB45/AB10)*Assumptions!$K$37)</f>
        <v>16173.181818181816</v>
      </c>
      <c r="AC223" s="51">
        <f ca="1">IF(((AC45/AC10)*Assumptions!$K$37)&gt;=Assumptions!$K$38,Assumptions!$K$38,(AC45/AC10)*Assumptions!$K$37)</f>
        <v>16939.999999999996</v>
      </c>
      <c r="AD223" s="51">
        <f ca="1">IF(((AD45/AD10)*Assumptions!$K$37)&gt;=Assumptions!$K$38,Assumptions!$K$38,(AD45/AD10)*Assumptions!$K$37)</f>
        <v>17709.999999999996</v>
      </c>
      <c r="AE223" s="51">
        <f ca="1">IF(((AE45/AE10)*Assumptions!$K$37)&gt;=Assumptions!$K$38,Assumptions!$K$38,(AE45/AE10)*Assumptions!$K$37)</f>
        <v>18482.8</v>
      </c>
      <c r="AF223" s="51">
        <f ca="1">IF(((AF45/AF10)*Assumptions!$K$37)&gt;=Assumptions!$K$38,Assumptions!$K$38,(AF45/AF10)*Assumptions!$K$37)</f>
        <v>19258.076923076918</v>
      </c>
      <c r="AG223" s="51">
        <f ca="1">IF(((AG45/AG10)*Assumptions!$K$37)&gt;=Assumptions!$K$38,Assumptions!$K$38,(AG45/AG10)*Assumptions!$K$37)</f>
        <v>20035.555555555555</v>
      </c>
      <c r="AH223" s="51">
        <f ca="1">IF(((AH45/AH10)*Assumptions!$K$37)&gt;=Assumptions!$K$38,Assumptions!$K$38,(AH45/AH10)*Assumptions!$K$37)</f>
        <v>20815</v>
      </c>
      <c r="AI223" s="51">
        <f ca="1">IF(((AI45/AI10)*Assumptions!$K$37)&gt;=Assumptions!$K$38,Assumptions!$K$38,(AI45/AI10)*Assumptions!$K$37)</f>
        <v>21596.206896551721</v>
      </c>
      <c r="AJ223" s="51">
        <f ca="1">IF(((AJ45/AJ10)*Assumptions!$K$37)&gt;=Assumptions!$K$38,Assumptions!$K$38,(AJ45/AJ10)*Assumptions!$K$37)</f>
        <v>22378.999999999996</v>
      </c>
      <c r="AK223" s="51">
        <f ca="1">IF(((AK45/AK10)*Assumptions!$K$37)&gt;=Assumptions!$K$38,Assumptions!$K$38,(AK45/AK10)*Assumptions!$K$37)</f>
        <v>23163.225806451606</v>
      </c>
      <c r="AL223" s="51">
        <f ca="1">IF(((AL45/AL10)*Assumptions!$K$37)&gt;=Assumptions!$K$38,Assumptions!$K$38,(AL45/AL10)*Assumptions!$K$37)</f>
        <v>23948.749999999996</v>
      </c>
      <c r="AM223" s="51">
        <f ca="1">IF(((AM45/AM10)*Assumptions!$K$37)&gt;=Assumptions!$K$38,Assumptions!$K$38,(AM45/AM10)*Assumptions!$K$37)</f>
        <v>24735.454545454544</v>
      </c>
      <c r="AN223" s="51">
        <f ca="1">IF(((AN45/AN10)*Assumptions!$K$37)&gt;=Assumptions!$K$38,Assumptions!$K$38,(AN45/AN10)*Assumptions!$K$37)</f>
        <v>25523.235294117643</v>
      </c>
      <c r="AO223" s="51">
        <f ca="1">IF(((AO45/AO10)*Assumptions!$K$37)&gt;=Assumptions!$K$38,Assumptions!$K$38,(AO45/AO10)*Assumptions!$K$37)</f>
        <v>26311.999999999996</v>
      </c>
      <c r="AP223" s="51">
        <f ca="1">IF(((AP45/AP10)*Assumptions!$K$37)&gt;=Assumptions!$K$38,Assumptions!$K$38,(AP45/AP10)*Assumptions!$K$37)</f>
        <v>27101.666666666664</v>
      </c>
      <c r="AQ223" s="51">
        <f ca="1">IF(((AQ45/AQ10)*Assumptions!$K$37)&gt;=Assumptions!$K$38,Assumptions!$K$38,(AQ45/AQ10)*Assumptions!$K$37)</f>
        <v>27892.16216216216</v>
      </c>
      <c r="AR223" s="51">
        <f ca="1">IF(((AR45/AR10)*Assumptions!$K$37)&gt;=Assumptions!$K$38,Assumptions!$K$38,(AR45/AR10)*Assumptions!$K$37)</f>
        <v>28683.421052631573</v>
      </c>
      <c r="AS223" s="51">
        <f ca="1">IF(((AS45/AS10)*Assumptions!$K$37)&gt;=Assumptions!$K$38,Assumptions!$K$38,(AS45/AS10)*Assumptions!$K$37)</f>
        <v>29475.384615384613</v>
      </c>
      <c r="AT223" s="51">
        <f ca="1">IF(((AT45/AT10)*Assumptions!$K$37)&gt;=Assumptions!$K$38,Assumptions!$K$38,(AT45/AT10)*Assumptions!$K$37)</f>
        <v>30267.999999999989</v>
      </c>
      <c r="AU223" s="51">
        <f ca="1">IF(((AU45/AU10)*Assumptions!$K$37)&gt;=Assumptions!$K$38,Assumptions!$K$38,(AU45/AU10)*Assumptions!$K$37)</f>
        <v>31061.219512195112</v>
      </c>
      <c r="AV223" s="51">
        <f ca="1">IF(((AV45/AV10)*Assumptions!$K$37)&gt;=Assumptions!$K$38,Assumptions!$K$38,(AV45/AV10)*Assumptions!$K$37)</f>
        <v>31854.999999999989</v>
      </c>
      <c r="AW223" s="51">
        <f ca="1">IF(((AW45/AW10)*Assumptions!$K$37)&gt;=Assumptions!$K$38,Assumptions!$K$38,(AW45/AW10)*Assumptions!$K$37)</f>
        <v>32649.30232558139</v>
      </c>
      <c r="AX223" s="51">
        <f ca="1">IF(((AX45/AX10)*Assumptions!$K$37)&gt;=Assumptions!$K$38,Assumptions!$K$38,(AX45/AX10)*Assumptions!$K$37)</f>
        <v>33444.090909090904</v>
      </c>
      <c r="AY223" s="51">
        <f ca="1">IF(((AY45/AY10)*Assumptions!$K$37)&gt;=Assumptions!$K$38,Assumptions!$K$38,(AY45/AY10)*Assumptions!$K$37)</f>
        <v>34239.333333333328</v>
      </c>
      <c r="AZ223" s="51">
        <f ca="1">IF(((AZ45/AZ10)*Assumptions!$K$37)&gt;=Assumptions!$K$38,Assumptions!$K$38,(AZ45/AZ10)*Assumptions!$K$37)</f>
        <v>35034.999999999993</v>
      </c>
      <c r="BA223" s="51">
        <f ca="1">IF(((BA45/BA10)*Assumptions!$K$37)&gt;=Assumptions!$K$38,Assumptions!$K$38,(BA45/BA10)*Assumptions!$K$37)</f>
        <v>35831.063829787228</v>
      </c>
      <c r="BB223" s="51">
        <f ca="1">IF(((BB45/BB10)*Assumptions!$K$37)&gt;=Assumptions!$K$38,Assumptions!$K$38,(BB45/BB10)*Assumptions!$K$37)</f>
        <v>36627.499999999993</v>
      </c>
      <c r="BC223" s="51">
        <f ca="1">IF(((BC45/BC10)*Assumptions!$K$37)&gt;=Assumptions!$K$38,Assumptions!$K$38,(BC45/BC10)*Assumptions!$K$37)</f>
        <v>37424.285714285703</v>
      </c>
      <c r="BD223" s="51">
        <f ca="1">IF(((BD45/BD10)*Assumptions!$K$37)&gt;=Assumptions!$K$38,Assumptions!$K$38,(BD45/BD10)*Assumptions!$K$37)</f>
        <v>38221.399999999994</v>
      </c>
      <c r="BE223" s="51">
        <f ca="1">IF(((BE45/BE10)*Assumptions!$K$37)&gt;=Assumptions!$K$38,Assumptions!$K$38,(BE45/BE10)*Assumptions!$K$37)</f>
        <v>39018.823529411762</v>
      </c>
      <c r="BF223" s="51">
        <f ca="1">IF(((BF45/BF10)*Assumptions!$K$37)&gt;=Assumptions!$K$38,Assumptions!$K$38,(BF45/BF10)*Assumptions!$K$37)</f>
        <v>39816.538461538461</v>
      </c>
      <c r="BG223" s="51">
        <f ca="1">IF(((BG45/BG10)*Assumptions!$K$37)&gt;=Assumptions!$K$38,Assumptions!$K$38,(BG45/BG10)*Assumptions!$K$37)</f>
        <v>40614.528301886785</v>
      </c>
      <c r="BH223" s="51">
        <f ca="1">IF(((BH45/BH10)*Assumptions!$K$37)&gt;=Assumptions!$K$38,Assumptions!$K$38,(BH45/BH10)*Assumptions!$K$37)</f>
        <v>41412.777777777774</v>
      </c>
      <c r="BI223" s="51">
        <f ca="1">IF(((BI45/BI10)*Assumptions!$K$37)&gt;=Assumptions!$K$38,Assumptions!$K$38,(BI45/BI10)*Assumptions!$K$37)</f>
        <v>42211.272727272721</v>
      </c>
      <c r="BJ223" s="51">
        <f ca="1">IF(((BJ45/BJ10)*Assumptions!$K$37)&gt;=Assumptions!$K$38,Assumptions!$K$38,(BJ45/BJ10)*Assumptions!$K$37)</f>
        <v>43009.999999999993</v>
      </c>
      <c r="BK223" s="51">
        <f ca="1">IF(((BK45/BK10)*Assumptions!$K$37)&gt;=Assumptions!$K$38,Assumptions!$K$38,(BK45/BK10)*Assumptions!$K$37)</f>
        <v>43808.947368421039</v>
      </c>
      <c r="BL223" s="51">
        <f ca="1">IF(((BL45/BL10)*Assumptions!$K$37)&gt;=Assumptions!$K$38,Assumptions!$K$38,(BL45/BL10)*Assumptions!$K$37)</f>
        <v>44608.103448275855</v>
      </c>
      <c r="BM223" s="51">
        <f ca="1">IF(((BM45/BM10)*Assumptions!$K$37)&gt;=Assumptions!$K$38,Assumptions!$K$38,(BM45/BM10)*Assumptions!$K$37)</f>
        <v>45407.457627118631</v>
      </c>
      <c r="BN223" s="51">
        <f ca="1">IF(((BN45/BN10)*Assumptions!$K$37)&gt;=Assumptions!$K$38,Assumptions!$K$38,(BN45/BN10)*Assumptions!$K$37)</f>
        <v>46206.999999999993</v>
      </c>
      <c r="BO223" s="51">
        <f ca="1">IF(((BO45/BO10)*Assumptions!$K$37)&gt;=Assumptions!$K$38,Assumptions!$K$38,(BO45/BO10)*Assumptions!$K$37)</f>
        <v>47006.721311475398</v>
      </c>
    </row>
    <row r="224" spans="1:67" x14ac:dyDescent="0.25">
      <c r="A224" s="227" t="s">
        <v>260</v>
      </c>
      <c r="H224" s="223">
        <f>IF(((D45/D10)*Assumptions!$K$37)&gt;=Assumptions!$K$38,Assumptions!$K$38,(D45/D10)*Assumptions!$K$37)</f>
        <v>3219.9999999999995</v>
      </c>
      <c r="I224" s="223">
        <f>IF(((E45/E10)*Assumptions!$K$37)&gt;=Assumptions!$K$38,Assumptions!$K$38,(E45/E10)*Assumptions!$K$37)</f>
        <v>6439.9999999999991</v>
      </c>
      <c r="J224" s="223">
        <f>IF(((F45/F10)*Assumptions!$K$37)&gt;=Assumptions!$K$38,Assumptions!$K$38,(F45/F10)*Assumptions!$K$37)</f>
        <v>9659.9999999999982</v>
      </c>
      <c r="K224" s="223">
        <f>IF(((G45/G10)*Assumptions!$K$37)&gt;=Assumptions!$K$38,Assumptions!$K$38,(G45/G10)*Assumptions!$K$37)</f>
        <v>12879.999999999998</v>
      </c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228">
        <f ca="1">(AQ$45*Assumptions!$K$37)</f>
        <v>1032009.9999999999</v>
      </c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228">
        <f ca="1">(BC$45*Assumptions!$K$37)</f>
        <v>1833789.9999999998</v>
      </c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228">
        <f ca="1">(BO$45*Assumptions!$K$37)</f>
        <v>2867409.9999999995</v>
      </c>
    </row>
    <row r="225" spans="1:67" s="25" customFormat="1" x14ac:dyDescent="0.25">
      <c r="A225" s="25" t="s">
        <v>261</v>
      </c>
      <c r="B225" s="202">
        <f ca="1">SUM(D225:BO225)</f>
        <v>59004889.999999993</v>
      </c>
      <c r="D225" s="25">
        <f t="shared" ref="D225:AI225" si="80">D223*D10</f>
        <v>0</v>
      </c>
      <c r="E225" s="25">
        <f t="shared" si="80"/>
        <v>0</v>
      </c>
      <c r="F225" s="25">
        <f t="shared" si="80"/>
        <v>0</v>
      </c>
      <c r="G225" s="25">
        <f t="shared" si="80"/>
        <v>0</v>
      </c>
      <c r="H225" s="25">
        <f t="shared" ca="1" si="80"/>
        <v>16099.999999999998</v>
      </c>
      <c r="I225" s="25">
        <f t="shared" ca="1" si="80"/>
        <v>19319.999999999993</v>
      </c>
      <c r="J225" s="25">
        <f t="shared" ca="1" si="80"/>
        <v>22539.999999999996</v>
      </c>
      <c r="K225" s="25">
        <f t="shared" ca="1" si="80"/>
        <v>27369.999999999996</v>
      </c>
      <c r="L225" s="25">
        <f t="shared" ca="1" si="80"/>
        <v>33810</v>
      </c>
      <c r="M225" s="25">
        <f t="shared" ca="1" si="80"/>
        <v>41859.999999999985</v>
      </c>
      <c r="N225" s="25">
        <f t="shared" ca="1" si="80"/>
        <v>51519.999999999985</v>
      </c>
      <c r="O225" s="25">
        <f t="shared" ca="1" si="80"/>
        <v>62789.999999999993</v>
      </c>
      <c r="P225" s="25">
        <f t="shared" ca="1" si="80"/>
        <v>75669.999999999971</v>
      </c>
      <c r="Q225" s="25">
        <f t="shared" ca="1" si="80"/>
        <v>90159.999999999971</v>
      </c>
      <c r="R225" s="25">
        <f t="shared" ca="1" si="80"/>
        <v>106259.99999999997</v>
      </c>
      <c r="S225" s="25">
        <f t="shared" ca="1" si="80"/>
        <v>123969.99999999997</v>
      </c>
      <c r="T225" s="25">
        <f t="shared" ca="1" si="80"/>
        <v>143290</v>
      </c>
      <c r="U225" s="25">
        <f t="shared" ca="1" si="80"/>
        <v>164219.99999999997</v>
      </c>
      <c r="V225" s="25">
        <f t="shared" ca="1" si="80"/>
        <v>186759.99999999997</v>
      </c>
      <c r="W225" s="25">
        <f t="shared" ca="1" si="80"/>
        <v>210909.99999999997</v>
      </c>
      <c r="X225" s="25">
        <f t="shared" ca="1" si="80"/>
        <v>236669.99999999997</v>
      </c>
      <c r="Y225" s="25">
        <f t="shared" ca="1" si="80"/>
        <v>264039.99999999994</v>
      </c>
      <c r="Z225" s="25">
        <f t="shared" ca="1" si="80"/>
        <v>293019.99999999994</v>
      </c>
      <c r="AA225" s="25">
        <f t="shared" ca="1" si="80"/>
        <v>323609.99999999988</v>
      </c>
      <c r="AB225" s="25">
        <f t="shared" ca="1" si="80"/>
        <v>355809.99999999994</v>
      </c>
      <c r="AC225" s="25">
        <f t="shared" ca="1" si="80"/>
        <v>389619.99999999994</v>
      </c>
      <c r="AD225" s="25">
        <f t="shared" ca="1" si="80"/>
        <v>425039.99999999988</v>
      </c>
      <c r="AE225" s="25">
        <f t="shared" ca="1" si="80"/>
        <v>462070</v>
      </c>
      <c r="AF225" s="25">
        <f t="shared" ca="1" si="80"/>
        <v>500709.99999999988</v>
      </c>
      <c r="AG225" s="25">
        <f t="shared" ca="1" si="80"/>
        <v>540960</v>
      </c>
      <c r="AH225" s="25">
        <f t="shared" ca="1" si="80"/>
        <v>582820</v>
      </c>
      <c r="AI225" s="25">
        <f t="shared" ca="1" si="80"/>
        <v>626289.99999999988</v>
      </c>
      <c r="AJ225" s="25">
        <f t="shared" ref="AJ225:BO225" ca="1" si="81">AJ223*AJ10</f>
        <v>671369.99999999988</v>
      </c>
      <c r="AK225" s="25">
        <f t="shared" ca="1" si="81"/>
        <v>718059.99999999977</v>
      </c>
      <c r="AL225" s="25">
        <f t="shared" ca="1" si="81"/>
        <v>766359.99999999988</v>
      </c>
      <c r="AM225" s="25">
        <f t="shared" ca="1" si="81"/>
        <v>816270</v>
      </c>
      <c r="AN225" s="25">
        <f t="shared" ca="1" si="81"/>
        <v>867789.99999999988</v>
      </c>
      <c r="AO225" s="25">
        <f t="shared" ca="1" si="81"/>
        <v>920919.99999999988</v>
      </c>
      <c r="AP225" s="25">
        <f t="shared" ca="1" si="81"/>
        <v>975659.99999999988</v>
      </c>
      <c r="AQ225" s="25">
        <f t="shared" ca="1" si="81"/>
        <v>1032009.9999999999</v>
      </c>
      <c r="AR225" s="25">
        <f t="shared" ca="1" si="81"/>
        <v>1089969.9999999998</v>
      </c>
      <c r="AS225" s="25">
        <f t="shared" ca="1" si="81"/>
        <v>1149540</v>
      </c>
      <c r="AT225" s="25">
        <f t="shared" ca="1" si="81"/>
        <v>1210719.9999999995</v>
      </c>
      <c r="AU225" s="25">
        <f t="shared" ca="1" si="81"/>
        <v>1273509.9999999995</v>
      </c>
      <c r="AV225" s="25">
        <f t="shared" ca="1" si="81"/>
        <v>1337909.9999999995</v>
      </c>
      <c r="AW225" s="25">
        <f t="shared" ca="1" si="81"/>
        <v>1403919.9999999998</v>
      </c>
      <c r="AX225" s="25">
        <f t="shared" ca="1" si="81"/>
        <v>1471539.9999999998</v>
      </c>
      <c r="AY225" s="25">
        <f t="shared" ca="1" si="81"/>
        <v>1540769.9999999998</v>
      </c>
      <c r="AZ225" s="25">
        <f t="shared" ca="1" si="81"/>
        <v>1611609.9999999998</v>
      </c>
      <c r="BA225" s="25">
        <f t="shared" ca="1" si="81"/>
        <v>1684059.9999999998</v>
      </c>
      <c r="BB225" s="25">
        <f t="shared" ca="1" si="81"/>
        <v>1758119.9999999995</v>
      </c>
      <c r="BC225" s="25">
        <f t="shared" ca="1" si="81"/>
        <v>1833789.9999999995</v>
      </c>
      <c r="BD225" s="25">
        <f t="shared" ca="1" si="81"/>
        <v>1911069.9999999998</v>
      </c>
      <c r="BE225" s="25">
        <f t="shared" ca="1" si="81"/>
        <v>1989959.9999999998</v>
      </c>
      <c r="BF225" s="25">
        <f t="shared" ca="1" si="81"/>
        <v>2070460</v>
      </c>
      <c r="BG225" s="25">
        <f t="shared" ca="1" si="81"/>
        <v>2152569.9999999995</v>
      </c>
      <c r="BH225" s="25">
        <f t="shared" ca="1" si="81"/>
        <v>2236290</v>
      </c>
      <c r="BI225" s="25">
        <f t="shared" ca="1" si="81"/>
        <v>2321619.9999999995</v>
      </c>
      <c r="BJ225" s="25">
        <f t="shared" ca="1" si="81"/>
        <v>2408559.9999999995</v>
      </c>
      <c r="BK225" s="25">
        <f t="shared" ca="1" si="81"/>
        <v>2497109.9999999991</v>
      </c>
      <c r="BL225" s="25">
        <f t="shared" ca="1" si="81"/>
        <v>2587269.9999999995</v>
      </c>
      <c r="BM225" s="25">
        <f t="shared" ca="1" si="81"/>
        <v>2679039.9999999991</v>
      </c>
      <c r="BN225" s="25">
        <f t="shared" ca="1" si="81"/>
        <v>2772419.9999999995</v>
      </c>
      <c r="BO225" s="25">
        <f t="shared" ca="1" si="81"/>
        <v>2867409.9999999991</v>
      </c>
    </row>
    <row r="226" spans="1:67" s="224" customFormat="1" x14ac:dyDescent="0.25">
      <c r="A226" s="224" t="s">
        <v>262</v>
      </c>
      <c r="B226" s="225">
        <f t="shared" ref="B226" ca="1" si="82">MAX(D226:AQ226)</f>
        <v>13145649.999999998</v>
      </c>
      <c r="C226" s="183"/>
      <c r="D226" s="224">
        <f>D225</f>
        <v>0</v>
      </c>
      <c r="E226" s="224">
        <f>E225+D226</f>
        <v>0</v>
      </c>
      <c r="F226" s="224">
        <f t="shared" ref="F226:BO226" si="83">F225+E226</f>
        <v>0</v>
      </c>
      <c r="G226" s="224">
        <f t="shared" si="83"/>
        <v>0</v>
      </c>
      <c r="H226" s="224">
        <f t="shared" ca="1" si="83"/>
        <v>16099.999999999998</v>
      </c>
      <c r="I226" s="224">
        <f t="shared" ca="1" si="83"/>
        <v>35419.999999999993</v>
      </c>
      <c r="J226" s="224">
        <f t="shared" ca="1" si="83"/>
        <v>57959.999999999985</v>
      </c>
      <c r="K226" s="224">
        <f t="shared" ca="1" si="83"/>
        <v>85329.999999999985</v>
      </c>
      <c r="L226" s="224">
        <f t="shared" ca="1" si="83"/>
        <v>119139.99999999999</v>
      </c>
      <c r="M226" s="224">
        <f t="shared" ca="1" si="83"/>
        <v>160999.99999999997</v>
      </c>
      <c r="N226" s="224">
        <f t="shared" ca="1" si="83"/>
        <v>212519.99999999994</v>
      </c>
      <c r="O226" s="224">
        <f t="shared" ca="1" si="83"/>
        <v>275309.99999999994</v>
      </c>
      <c r="P226" s="224">
        <f t="shared" ca="1" si="83"/>
        <v>350979.99999999988</v>
      </c>
      <c r="Q226" s="224">
        <f t="shared" ca="1" si="83"/>
        <v>441139.99999999988</v>
      </c>
      <c r="R226" s="224">
        <f t="shared" ca="1" si="83"/>
        <v>547399.99999999988</v>
      </c>
      <c r="S226" s="224">
        <f t="shared" ca="1" si="83"/>
        <v>671369.99999999988</v>
      </c>
      <c r="T226" s="224">
        <f t="shared" ca="1" si="83"/>
        <v>814659.99999999988</v>
      </c>
      <c r="U226" s="224">
        <f t="shared" ca="1" si="83"/>
        <v>978879.99999999988</v>
      </c>
      <c r="V226" s="224">
        <f t="shared" ca="1" si="83"/>
        <v>1165639.9999999998</v>
      </c>
      <c r="W226" s="224">
        <f t="shared" ca="1" si="83"/>
        <v>1376549.9999999998</v>
      </c>
      <c r="X226" s="224">
        <f t="shared" ca="1" si="83"/>
        <v>1613219.9999999998</v>
      </c>
      <c r="Y226" s="224">
        <f t="shared" ca="1" si="83"/>
        <v>1877259.9999999998</v>
      </c>
      <c r="Z226" s="224">
        <f t="shared" ca="1" si="83"/>
        <v>2170279.9999999995</v>
      </c>
      <c r="AA226" s="224">
        <f t="shared" ca="1" si="83"/>
        <v>2493889.9999999995</v>
      </c>
      <c r="AB226" s="224">
        <f t="shared" ca="1" si="83"/>
        <v>2849699.9999999995</v>
      </c>
      <c r="AC226" s="224">
        <f t="shared" ca="1" si="83"/>
        <v>3239319.9999999995</v>
      </c>
      <c r="AD226" s="224">
        <f t="shared" ca="1" si="83"/>
        <v>3664359.9999999995</v>
      </c>
      <c r="AE226" s="224">
        <f t="shared" ca="1" si="83"/>
        <v>4126429.9999999995</v>
      </c>
      <c r="AF226" s="224">
        <f t="shared" ca="1" si="83"/>
        <v>4627139.9999999991</v>
      </c>
      <c r="AG226" s="224">
        <f t="shared" ca="1" si="83"/>
        <v>5168099.9999999991</v>
      </c>
      <c r="AH226" s="224">
        <f t="shared" ca="1" si="83"/>
        <v>5750919.9999999991</v>
      </c>
      <c r="AI226" s="224">
        <f t="shared" ca="1" si="83"/>
        <v>6377209.9999999991</v>
      </c>
      <c r="AJ226" s="224">
        <f t="shared" ca="1" si="83"/>
        <v>7048579.9999999991</v>
      </c>
      <c r="AK226" s="224">
        <f t="shared" ca="1" si="83"/>
        <v>7766639.9999999991</v>
      </c>
      <c r="AL226" s="224">
        <f t="shared" ca="1" si="83"/>
        <v>8532999.9999999981</v>
      </c>
      <c r="AM226" s="224">
        <f t="shared" ca="1" si="83"/>
        <v>9349269.9999999981</v>
      </c>
      <c r="AN226" s="224">
        <f t="shared" ca="1" si="83"/>
        <v>10217059.999999998</v>
      </c>
      <c r="AO226" s="224">
        <f t="shared" ca="1" si="83"/>
        <v>11137979.999999998</v>
      </c>
      <c r="AP226" s="224">
        <f t="shared" ca="1" si="83"/>
        <v>12113639.999999998</v>
      </c>
      <c r="AQ226" s="224">
        <f t="shared" ca="1" si="83"/>
        <v>13145649.999999998</v>
      </c>
      <c r="AR226" s="224">
        <f t="shared" ca="1" si="83"/>
        <v>14235619.999999998</v>
      </c>
      <c r="AS226" s="224">
        <f t="shared" ca="1" si="83"/>
        <v>15385159.999999998</v>
      </c>
      <c r="AT226" s="224">
        <f t="shared" ca="1" si="83"/>
        <v>16595879.999999998</v>
      </c>
      <c r="AU226" s="224">
        <f t="shared" ca="1" si="83"/>
        <v>17869389.999999996</v>
      </c>
      <c r="AV226" s="224">
        <f t="shared" ca="1" si="83"/>
        <v>19207299.999999996</v>
      </c>
      <c r="AW226" s="224">
        <f t="shared" ca="1" si="83"/>
        <v>20611219.999999996</v>
      </c>
      <c r="AX226" s="224">
        <f t="shared" ca="1" si="83"/>
        <v>22082759.999999996</v>
      </c>
      <c r="AY226" s="224">
        <f t="shared" ca="1" si="83"/>
        <v>23623529.999999996</v>
      </c>
      <c r="AZ226" s="224">
        <f t="shared" ca="1" si="83"/>
        <v>25235139.999999996</v>
      </c>
      <c r="BA226" s="224">
        <f t="shared" ca="1" si="83"/>
        <v>26919199.999999996</v>
      </c>
      <c r="BB226" s="224">
        <f t="shared" ca="1" si="83"/>
        <v>28677319.999999996</v>
      </c>
      <c r="BC226" s="224">
        <f t="shared" ca="1" si="83"/>
        <v>30511109.999999996</v>
      </c>
      <c r="BD226" s="224">
        <f t="shared" ca="1" si="83"/>
        <v>32422179.999999996</v>
      </c>
      <c r="BE226" s="224">
        <f t="shared" ca="1" si="83"/>
        <v>34412139.999999993</v>
      </c>
      <c r="BF226" s="224">
        <f t="shared" ca="1" si="83"/>
        <v>36482599.999999993</v>
      </c>
      <c r="BG226" s="224">
        <f t="shared" ca="1" si="83"/>
        <v>38635169.999999993</v>
      </c>
      <c r="BH226" s="224">
        <f t="shared" ca="1" si="83"/>
        <v>40871459.999999993</v>
      </c>
      <c r="BI226" s="224">
        <f t="shared" ca="1" si="83"/>
        <v>43193079.999999993</v>
      </c>
      <c r="BJ226" s="224">
        <f t="shared" ca="1" si="83"/>
        <v>45601639.999999993</v>
      </c>
      <c r="BK226" s="224">
        <f t="shared" ca="1" si="83"/>
        <v>48098749.999999993</v>
      </c>
      <c r="BL226" s="224">
        <f t="shared" ca="1" si="83"/>
        <v>50686019.999999993</v>
      </c>
      <c r="BM226" s="224">
        <f t="shared" ca="1" si="83"/>
        <v>53365059.999999993</v>
      </c>
      <c r="BN226" s="224">
        <f t="shared" ca="1" si="83"/>
        <v>56137479.999999993</v>
      </c>
      <c r="BO226" s="224">
        <f t="shared" ca="1" si="83"/>
        <v>59004889.999999993</v>
      </c>
    </row>
    <row r="228" spans="1:67" s="25" customFormat="1" x14ac:dyDescent="0.25">
      <c r="A228" s="25" t="s">
        <v>263</v>
      </c>
      <c r="B228" s="202">
        <f ca="1">SUM(D228:BO228)</f>
        <v>29518545</v>
      </c>
      <c r="C228" s="61"/>
      <c r="D228" s="212">
        <f>ROUNDUP(D$45*Assumptions!$K$39,0)</f>
        <v>1610</v>
      </c>
      <c r="E228" s="212">
        <f>ROUNDUP(E$45*Assumptions!$K$39,0)</f>
        <v>3220</v>
      </c>
      <c r="F228" s="212">
        <f>ROUNDUP(F$45*Assumptions!$K$39,0)</f>
        <v>4830</v>
      </c>
      <c r="G228" s="212">
        <f>ROUNDUP(G$45*Assumptions!$K$39,0)</f>
        <v>6440</v>
      </c>
      <c r="H228" s="25">
        <f ca="1">ROUNDUP(H$45*Assumptions!$K$39,0)</f>
        <v>8050</v>
      </c>
      <c r="I228" s="25">
        <f ca="1">ROUNDUP(I$45*Assumptions!$K$39,0)</f>
        <v>9660</v>
      </c>
      <c r="J228" s="25">
        <f ca="1">ROUNDUP(J$45*Assumptions!$K$39,0)</f>
        <v>11270</v>
      </c>
      <c r="K228" s="25">
        <f ca="1">ROUNDUP(K$45*Assumptions!$K$39,0)</f>
        <v>13685</v>
      </c>
      <c r="L228" s="25">
        <f ca="1">ROUNDUP(L$45*Assumptions!$K$39,0)</f>
        <v>16905</v>
      </c>
      <c r="M228" s="25">
        <f ca="1">ROUNDUP(M$45*Assumptions!$K$39,0)</f>
        <v>20930</v>
      </c>
      <c r="N228" s="25">
        <f ca="1">ROUNDUP(N$45*Assumptions!$K$39,0)</f>
        <v>25760</v>
      </c>
      <c r="O228" s="25">
        <f ca="1">ROUNDUP(O$45*Assumptions!$K$39,0)</f>
        <v>31395</v>
      </c>
      <c r="P228" s="25">
        <f ca="1">ROUNDUP(P$45*Assumptions!$K$39,0)</f>
        <v>37835</v>
      </c>
      <c r="Q228" s="25">
        <f ca="1">ROUNDUP(Q$45*Assumptions!$K$39,0)</f>
        <v>45080</v>
      </c>
      <c r="R228" s="25">
        <f ca="1">ROUNDUP(R$45*Assumptions!$K$39,0)</f>
        <v>53130</v>
      </c>
      <c r="S228" s="25">
        <f ca="1">ROUNDUP(S$45*Assumptions!$K$39,0)</f>
        <v>61985</v>
      </c>
      <c r="T228" s="25">
        <f ca="1">ROUNDUP(T$45*Assumptions!$K$39,0)</f>
        <v>71645</v>
      </c>
      <c r="U228" s="25">
        <f ca="1">ROUNDUP(U$45*Assumptions!$K$39,0)</f>
        <v>82110</v>
      </c>
      <c r="V228" s="25">
        <f ca="1">ROUNDUP(V$45*Assumptions!$K$39,0)</f>
        <v>93380</v>
      </c>
      <c r="W228" s="25">
        <f ca="1">ROUNDUP(W$45*Assumptions!$K$39,0)</f>
        <v>105455</v>
      </c>
      <c r="X228" s="25">
        <f ca="1">ROUNDUP(X$45*Assumptions!$K$39,0)</f>
        <v>118335</v>
      </c>
      <c r="Y228" s="25">
        <f ca="1">ROUNDUP(Y$45*Assumptions!$K$39,0)</f>
        <v>132020</v>
      </c>
      <c r="Z228" s="25">
        <f ca="1">ROUNDUP(Z$45*Assumptions!$K$39,0)</f>
        <v>146510</v>
      </c>
      <c r="AA228" s="25">
        <f ca="1">ROUNDUP(AA$45*Assumptions!$K$39,0)</f>
        <v>161805</v>
      </c>
      <c r="AB228" s="25">
        <f ca="1">ROUNDUP(AB$45*Assumptions!$K$39,0)</f>
        <v>177905</v>
      </c>
      <c r="AC228" s="25">
        <f ca="1">ROUNDUP(AC$45*Assumptions!$K$39,0)</f>
        <v>194810</v>
      </c>
      <c r="AD228" s="25">
        <f ca="1">ROUNDUP(AD$45*Assumptions!$K$39,0)</f>
        <v>212520</v>
      </c>
      <c r="AE228" s="25">
        <f ca="1">ROUNDUP(AE$45*Assumptions!$K$39,0)</f>
        <v>231035</v>
      </c>
      <c r="AF228" s="25">
        <f ca="1">ROUNDUP(AF$45*Assumptions!$K$39,0)</f>
        <v>250355</v>
      </c>
      <c r="AG228" s="25">
        <f ca="1">ROUNDUP(AG$45*Assumptions!$K$39,0)</f>
        <v>270480</v>
      </c>
      <c r="AH228" s="25">
        <f ca="1">ROUNDUP(AH$45*Assumptions!$K$39,0)</f>
        <v>291410</v>
      </c>
      <c r="AI228" s="25">
        <f ca="1">ROUNDUP(AI$45*Assumptions!$K$39,0)</f>
        <v>313145</v>
      </c>
      <c r="AJ228" s="25">
        <f ca="1">ROUNDUP(AJ$45*Assumptions!$K$39,0)</f>
        <v>335685</v>
      </c>
      <c r="AK228" s="25">
        <f ca="1">ROUNDUP(AK$45*Assumptions!$K$39,0)</f>
        <v>359030</v>
      </c>
      <c r="AL228" s="25">
        <f ca="1">ROUNDUP(AL$45*Assumptions!$K$39,0)</f>
        <v>383180</v>
      </c>
      <c r="AM228" s="25">
        <f ca="1">ROUNDUP(AM$45*Assumptions!$K$39,0)</f>
        <v>408135</v>
      </c>
      <c r="AN228" s="25">
        <f ca="1">ROUNDUP(AN$45*Assumptions!$K$39,0)</f>
        <v>433895</v>
      </c>
      <c r="AO228" s="25">
        <f ca="1">ROUNDUP(AO$45*Assumptions!$K$39,0)</f>
        <v>460460</v>
      </c>
      <c r="AP228" s="25">
        <f ca="1">ROUNDUP(AP$45*Assumptions!$K$39,0)</f>
        <v>487830</v>
      </c>
      <c r="AQ228" s="25">
        <f ca="1">ROUNDUP(AQ$45*Assumptions!$K$39,0)</f>
        <v>516005</v>
      </c>
      <c r="AR228" s="25">
        <f ca="1">ROUNDUP(AR$45*Assumptions!$K$39,0)</f>
        <v>544985</v>
      </c>
      <c r="AS228" s="25">
        <f ca="1">ROUNDUP(AS$45*Assumptions!$K$39,0)</f>
        <v>574770</v>
      </c>
      <c r="AT228" s="25">
        <f ca="1">ROUNDUP(AT$45*Assumptions!$K$39,0)</f>
        <v>605360</v>
      </c>
      <c r="AU228" s="25">
        <f ca="1">ROUNDUP(AU$45*Assumptions!$K$39,0)</f>
        <v>636755</v>
      </c>
      <c r="AV228" s="25">
        <f ca="1">ROUNDUP(AV$45*Assumptions!$K$39,0)</f>
        <v>668955</v>
      </c>
      <c r="AW228" s="25">
        <f ca="1">ROUNDUP(AW$45*Assumptions!$K$39,0)</f>
        <v>701960</v>
      </c>
      <c r="AX228" s="25">
        <f ca="1">ROUNDUP(AX$45*Assumptions!$K$39,0)</f>
        <v>735770</v>
      </c>
      <c r="AY228" s="25">
        <f ca="1">ROUNDUP(AY$45*Assumptions!$K$39,0)</f>
        <v>770385</v>
      </c>
      <c r="AZ228" s="25">
        <f ca="1">ROUNDUP(AZ$45*Assumptions!$K$39,0)</f>
        <v>805805</v>
      </c>
      <c r="BA228" s="25">
        <f ca="1">ROUNDUP(BA$45*Assumptions!$K$39,0)</f>
        <v>842030</v>
      </c>
      <c r="BB228" s="25">
        <f ca="1">ROUNDUP(BB$45*Assumptions!$K$39,0)</f>
        <v>879060</v>
      </c>
      <c r="BC228" s="25">
        <f ca="1">ROUNDUP(BC$45*Assumptions!$K$39,0)</f>
        <v>916895</v>
      </c>
      <c r="BD228" s="25">
        <f ca="1">ROUNDUP(BD$45*Assumptions!$K$39,0)</f>
        <v>955535</v>
      </c>
      <c r="BE228" s="25">
        <f ca="1">ROUNDUP(BE$45*Assumptions!$K$39,0)</f>
        <v>994980</v>
      </c>
      <c r="BF228" s="25">
        <f ca="1">ROUNDUP(BF$45*Assumptions!$K$39,0)</f>
        <v>1035230</v>
      </c>
      <c r="BG228" s="25">
        <f ca="1">ROUNDUP(BG$45*Assumptions!$K$39,0)</f>
        <v>1076285</v>
      </c>
      <c r="BH228" s="25">
        <f ca="1">ROUNDUP(BH$45*Assumptions!$K$39,0)</f>
        <v>1118145</v>
      </c>
      <c r="BI228" s="25">
        <f ca="1">ROUNDUP(BI$45*Assumptions!$K$39,0)</f>
        <v>1160810</v>
      </c>
      <c r="BJ228" s="25">
        <f ca="1">ROUNDUP(BJ$45*Assumptions!$K$39,0)</f>
        <v>1204280</v>
      </c>
      <c r="BK228" s="25">
        <f ca="1">ROUNDUP(BK$45*Assumptions!$K$39,0)</f>
        <v>1248555</v>
      </c>
      <c r="BL228" s="25">
        <f ca="1">ROUNDUP(BL$45*Assumptions!$K$39,0)</f>
        <v>1293635</v>
      </c>
      <c r="BM228" s="25">
        <f ca="1">ROUNDUP(BM$45*Assumptions!$K$39,0)</f>
        <v>1339520</v>
      </c>
      <c r="BN228" s="25">
        <f ca="1">ROUNDUP(BN$45*Assumptions!$K$39,0)</f>
        <v>1386210</v>
      </c>
      <c r="BO228" s="25">
        <f ca="1">ROUNDUP(BO$45*Assumptions!$K$39,0)</f>
        <v>1433705</v>
      </c>
    </row>
    <row r="229" spans="1:67" s="224" customFormat="1" x14ac:dyDescent="0.25">
      <c r="A229" s="224" t="s">
        <v>264</v>
      </c>
      <c r="B229" s="202"/>
      <c r="C229" s="183"/>
      <c r="D229" s="229">
        <f>D228</f>
        <v>1610</v>
      </c>
      <c r="E229" s="229">
        <f>E228+D229</f>
        <v>4830</v>
      </c>
      <c r="F229" s="229">
        <f t="shared" ref="F229:BO229" si="84">F228+E229</f>
        <v>9660</v>
      </c>
      <c r="G229" s="229">
        <f t="shared" si="84"/>
        <v>16100</v>
      </c>
      <c r="H229" s="224">
        <f t="shared" ca="1" si="84"/>
        <v>24150</v>
      </c>
      <c r="I229" s="224">
        <f t="shared" ca="1" si="84"/>
        <v>33810</v>
      </c>
      <c r="J229" s="224">
        <f t="shared" ca="1" si="84"/>
        <v>45080</v>
      </c>
      <c r="K229" s="224">
        <f t="shared" ca="1" si="84"/>
        <v>58765</v>
      </c>
      <c r="L229" s="224">
        <f t="shared" ca="1" si="84"/>
        <v>75670</v>
      </c>
      <c r="M229" s="224">
        <f t="shared" ca="1" si="84"/>
        <v>96600</v>
      </c>
      <c r="N229" s="224">
        <f t="shared" ca="1" si="84"/>
        <v>122360</v>
      </c>
      <c r="O229" s="224">
        <f t="shared" ca="1" si="84"/>
        <v>153755</v>
      </c>
      <c r="P229" s="224">
        <f t="shared" ca="1" si="84"/>
        <v>191590</v>
      </c>
      <c r="Q229" s="224">
        <f t="shared" ca="1" si="84"/>
        <v>236670</v>
      </c>
      <c r="R229" s="224">
        <f t="shared" ca="1" si="84"/>
        <v>289800</v>
      </c>
      <c r="S229" s="224">
        <f t="shared" ca="1" si="84"/>
        <v>351785</v>
      </c>
      <c r="T229" s="224">
        <f t="shared" ca="1" si="84"/>
        <v>423430</v>
      </c>
      <c r="U229" s="224">
        <f t="shared" ca="1" si="84"/>
        <v>505540</v>
      </c>
      <c r="V229" s="224">
        <f t="shared" ca="1" si="84"/>
        <v>598920</v>
      </c>
      <c r="W229" s="224">
        <f t="shared" ca="1" si="84"/>
        <v>704375</v>
      </c>
      <c r="X229" s="224">
        <f t="shared" ca="1" si="84"/>
        <v>822710</v>
      </c>
      <c r="Y229" s="224">
        <f t="shared" ca="1" si="84"/>
        <v>954730</v>
      </c>
      <c r="Z229" s="224">
        <f t="shared" ca="1" si="84"/>
        <v>1101240</v>
      </c>
      <c r="AA229" s="224">
        <f t="shared" ca="1" si="84"/>
        <v>1263045</v>
      </c>
      <c r="AB229" s="224">
        <f t="shared" ca="1" si="84"/>
        <v>1440950</v>
      </c>
      <c r="AC229" s="224">
        <f t="shared" ca="1" si="84"/>
        <v>1635760</v>
      </c>
      <c r="AD229" s="224">
        <f t="shared" ca="1" si="84"/>
        <v>1848280</v>
      </c>
      <c r="AE229" s="224">
        <f t="shared" ca="1" si="84"/>
        <v>2079315</v>
      </c>
      <c r="AF229" s="224">
        <f t="shared" ca="1" si="84"/>
        <v>2329670</v>
      </c>
      <c r="AG229" s="224">
        <f t="shared" ca="1" si="84"/>
        <v>2600150</v>
      </c>
      <c r="AH229" s="224">
        <f t="shared" ca="1" si="84"/>
        <v>2891560</v>
      </c>
      <c r="AI229" s="224">
        <f t="shared" ca="1" si="84"/>
        <v>3204705</v>
      </c>
      <c r="AJ229" s="224">
        <f t="shared" ca="1" si="84"/>
        <v>3540390</v>
      </c>
      <c r="AK229" s="224">
        <f t="shared" ca="1" si="84"/>
        <v>3899420</v>
      </c>
      <c r="AL229" s="224">
        <f t="shared" ca="1" si="84"/>
        <v>4282600</v>
      </c>
      <c r="AM229" s="224">
        <f t="shared" ca="1" si="84"/>
        <v>4690735</v>
      </c>
      <c r="AN229" s="224">
        <f t="shared" ca="1" si="84"/>
        <v>5124630</v>
      </c>
      <c r="AO229" s="224">
        <f t="shared" ca="1" si="84"/>
        <v>5585090</v>
      </c>
      <c r="AP229" s="224">
        <f t="shared" ca="1" si="84"/>
        <v>6072920</v>
      </c>
      <c r="AQ229" s="224">
        <f t="shared" ca="1" si="84"/>
        <v>6588925</v>
      </c>
      <c r="AR229" s="224">
        <f t="shared" ca="1" si="84"/>
        <v>7133910</v>
      </c>
      <c r="AS229" s="224">
        <f t="shared" ca="1" si="84"/>
        <v>7708680</v>
      </c>
      <c r="AT229" s="224">
        <f t="shared" ca="1" si="84"/>
        <v>8314040</v>
      </c>
      <c r="AU229" s="224">
        <f t="shared" ca="1" si="84"/>
        <v>8950795</v>
      </c>
      <c r="AV229" s="224">
        <f t="shared" ca="1" si="84"/>
        <v>9619750</v>
      </c>
      <c r="AW229" s="224">
        <f t="shared" ca="1" si="84"/>
        <v>10321710</v>
      </c>
      <c r="AX229" s="224">
        <f t="shared" ca="1" si="84"/>
        <v>11057480</v>
      </c>
      <c r="AY229" s="224">
        <f t="shared" ca="1" si="84"/>
        <v>11827865</v>
      </c>
      <c r="AZ229" s="224">
        <f t="shared" ca="1" si="84"/>
        <v>12633670</v>
      </c>
      <c r="BA229" s="224">
        <f t="shared" ca="1" si="84"/>
        <v>13475700</v>
      </c>
      <c r="BB229" s="224">
        <f t="shared" ca="1" si="84"/>
        <v>14354760</v>
      </c>
      <c r="BC229" s="224">
        <f t="shared" ca="1" si="84"/>
        <v>15271655</v>
      </c>
      <c r="BD229" s="224">
        <f t="shared" ca="1" si="84"/>
        <v>16227190</v>
      </c>
      <c r="BE229" s="224">
        <f t="shared" ca="1" si="84"/>
        <v>17222170</v>
      </c>
      <c r="BF229" s="224">
        <f t="shared" ca="1" si="84"/>
        <v>18257400</v>
      </c>
      <c r="BG229" s="224">
        <f t="shared" ca="1" si="84"/>
        <v>19333685</v>
      </c>
      <c r="BH229" s="224">
        <f t="shared" ca="1" si="84"/>
        <v>20451830</v>
      </c>
      <c r="BI229" s="224">
        <f t="shared" ca="1" si="84"/>
        <v>21612640</v>
      </c>
      <c r="BJ229" s="224">
        <f t="shared" ca="1" si="84"/>
        <v>22816920</v>
      </c>
      <c r="BK229" s="224">
        <f t="shared" ca="1" si="84"/>
        <v>24065475</v>
      </c>
      <c r="BL229" s="224">
        <f t="shared" ca="1" si="84"/>
        <v>25359110</v>
      </c>
      <c r="BM229" s="224">
        <f t="shared" ca="1" si="84"/>
        <v>26698630</v>
      </c>
      <c r="BN229" s="224">
        <f t="shared" ca="1" si="84"/>
        <v>28084840</v>
      </c>
      <c r="BO229" s="224">
        <f t="shared" ca="1" si="84"/>
        <v>29518545</v>
      </c>
    </row>
    <row r="230" spans="1:67" x14ac:dyDescent="0.25">
      <c r="A230" s="41"/>
      <c r="B230" s="202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</row>
    <row r="231" spans="1:67" s="204" customFormat="1" x14ac:dyDescent="0.25">
      <c r="A231" s="204" t="s">
        <v>265</v>
      </c>
      <c r="B231" s="202">
        <f ca="1">SUM(D231:BO231)</f>
        <v>150164943.33333328</v>
      </c>
      <c r="C231" s="25"/>
      <c r="D231" s="204">
        <f>D206+D212+D219+D225+D228</f>
        <v>8710</v>
      </c>
      <c r="E231" s="204">
        <f t="shared" ref="E231:BO231" si="85">E206+E212+E219+E225+E228</f>
        <v>10320</v>
      </c>
      <c r="F231" s="204">
        <f t="shared" si="85"/>
        <v>11930</v>
      </c>
      <c r="G231" s="204">
        <f t="shared" si="85"/>
        <v>13540</v>
      </c>
      <c r="H231" s="204">
        <f t="shared" ca="1" si="85"/>
        <v>129816.66666666666</v>
      </c>
      <c r="I231" s="204">
        <f t="shared" ca="1" si="85"/>
        <v>143646.66666666666</v>
      </c>
      <c r="J231" s="204">
        <f t="shared" ca="1" si="85"/>
        <v>157476.66666666666</v>
      </c>
      <c r="K231" s="204">
        <f t="shared" ca="1" si="85"/>
        <v>181055</v>
      </c>
      <c r="L231" s="204">
        <f t="shared" ca="1" si="85"/>
        <v>199715</v>
      </c>
      <c r="M231" s="204">
        <f t="shared" ca="1" si="85"/>
        <v>220790</v>
      </c>
      <c r="N231" s="204">
        <f t="shared" ca="1" si="85"/>
        <v>244280</v>
      </c>
      <c r="O231" s="204">
        <f t="shared" ca="1" si="85"/>
        <v>270185</v>
      </c>
      <c r="P231" s="204">
        <f t="shared" ca="1" si="85"/>
        <v>312755</v>
      </c>
      <c r="Q231" s="204">
        <f t="shared" ca="1" si="85"/>
        <v>343490</v>
      </c>
      <c r="R231" s="204">
        <f t="shared" ca="1" si="85"/>
        <v>376640</v>
      </c>
      <c r="S231" s="204">
        <f t="shared" ca="1" si="85"/>
        <v>412205</v>
      </c>
      <c r="T231" s="204">
        <f t="shared" ca="1" si="85"/>
        <v>548997.5</v>
      </c>
      <c r="U231" s="204">
        <f t="shared" ca="1" si="85"/>
        <v>600809.16666666674</v>
      </c>
      <c r="V231" s="204">
        <f t="shared" ca="1" si="85"/>
        <v>645869.16666666674</v>
      </c>
      <c r="W231" s="204">
        <f t="shared" ca="1" si="85"/>
        <v>693344.16666666674</v>
      </c>
      <c r="X231" s="204">
        <f t="shared" ca="1" si="85"/>
        <v>743234.16666666663</v>
      </c>
      <c r="Y231" s="204">
        <f t="shared" ca="1" si="85"/>
        <v>795539.16666666663</v>
      </c>
      <c r="Z231" s="204">
        <f t="shared" ca="1" si="85"/>
        <v>868071.66666666674</v>
      </c>
      <c r="AA231" s="204">
        <f t="shared" ca="1" si="85"/>
        <v>925206.66666666651</v>
      </c>
      <c r="AB231" s="204">
        <f t="shared" ca="1" si="85"/>
        <v>984756.66666666674</v>
      </c>
      <c r="AC231" s="204">
        <f t="shared" ca="1" si="85"/>
        <v>1046721.6666666667</v>
      </c>
      <c r="AD231" s="204">
        <f t="shared" ca="1" si="85"/>
        <v>1111101.6666666665</v>
      </c>
      <c r="AE231" s="204">
        <f t="shared" ca="1" si="85"/>
        <v>1187063.3333333333</v>
      </c>
      <c r="AF231" s="204">
        <f t="shared" ca="1" si="85"/>
        <v>1436131.6666666665</v>
      </c>
      <c r="AG231" s="204">
        <f t="shared" ca="1" si="85"/>
        <v>1510906.6666666667</v>
      </c>
      <c r="AH231" s="204">
        <f t="shared" ca="1" si="85"/>
        <v>1588096.6666666667</v>
      </c>
      <c r="AI231" s="204">
        <f t="shared" ca="1" si="85"/>
        <v>1667701.6666666665</v>
      </c>
      <c r="AJ231" s="204">
        <f t="shared" ca="1" si="85"/>
        <v>1772521.6666666665</v>
      </c>
      <c r="AK231" s="204">
        <f t="shared" ca="1" si="85"/>
        <v>1856956.6666666665</v>
      </c>
      <c r="AL231" s="204">
        <f t="shared" ca="1" si="85"/>
        <v>1943806.6666666665</v>
      </c>
      <c r="AM231" s="204">
        <f t="shared" ca="1" si="85"/>
        <v>2033071.6666666667</v>
      </c>
      <c r="AN231" s="204">
        <f t="shared" ca="1" si="85"/>
        <v>2124751.6666666665</v>
      </c>
      <c r="AO231" s="204">
        <f t="shared" ca="1" si="85"/>
        <v>2230580</v>
      </c>
      <c r="AP231" s="204">
        <f t="shared" ca="1" si="85"/>
        <v>2327090</v>
      </c>
      <c r="AQ231" s="204">
        <f t="shared" ca="1" si="85"/>
        <v>2426015</v>
      </c>
      <c r="AR231" s="204">
        <f t="shared" ca="1" si="85"/>
        <v>2940821.6666666665</v>
      </c>
      <c r="AS231" s="204">
        <f t="shared" ca="1" si="85"/>
        <v>3050876.666666667</v>
      </c>
      <c r="AT231" s="204">
        <f t="shared" ca="1" si="85"/>
        <v>3196121.6666666665</v>
      </c>
      <c r="AU231" s="204">
        <f t="shared" ca="1" si="85"/>
        <v>3311006.666666666</v>
      </c>
      <c r="AV231" s="204">
        <f t="shared" ca="1" si="85"/>
        <v>3428306.666666666</v>
      </c>
      <c r="AW231" s="204">
        <f t="shared" ca="1" si="85"/>
        <v>3548021.666666667</v>
      </c>
      <c r="AX231" s="204">
        <f t="shared" ca="1" si="85"/>
        <v>3670151.6666666665</v>
      </c>
      <c r="AY231" s="204">
        <f t="shared" ca="1" si="85"/>
        <v>3811563.333333333</v>
      </c>
      <c r="AZ231" s="204">
        <f t="shared" ca="1" si="85"/>
        <v>3938523.333333333</v>
      </c>
      <c r="BA231" s="204">
        <f t="shared" ca="1" si="85"/>
        <v>4067898.333333333</v>
      </c>
      <c r="BB231" s="204">
        <f t="shared" ca="1" si="85"/>
        <v>4199688.333333333</v>
      </c>
      <c r="BC231" s="204">
        <f t="shared" ca="1" si="85"/>
        <v>4333893.333333333</v>
      </c>
      <c r="BD231" s="204">
        <f t="shared" ca="1" si="85"/>
        <v>5016688.333333333</v>
      </c>
      <c r="BE231" s="204">
        <f t="shared" ca="1" si="85"/>
        <v>5162023.333333333</v>
      </c>
      <c r="BF231" s="204">
        <f t="shared" ca="1" si="85"/>
        <v>5309773.333333334</v>
      </c>
      <c r="BG231" s="204">
        <f t="shared" ca="1" si="85"/>
        <v>5459938.333333333</v>
      </c>
      <c r="BH231" s="204">
        <f t="shared" ca="1" si="85"/>
        <v>5612518.333333334</v>
      </c>
      <c r="BI231" s="204">
        <f t="shared" ca="1" si="85"/>
        <v>5789513.333333333</v>
      </c>
      <c r="BJ231" s="204">
        <f t="shared" ca="1" si="85"/>
        <v>5946923.333333333</v>
      </c>
      <c r="BK231" s="204">
        <f t="shared" ca="1" si="85"/>
        <v>6106748.3333333321</v>
      </c>
      <c r="BL231" s="204">
        <f t="shared" ca="1" si="85"/>
        <v>6268988.333333333</v>
      </c>
      <c r="BM231" s="204">
        <f t="shared" ca="1" si="85"/>
        <v>6433643.3333333321</v>
      </c>
      <c r="BN231" s="204">
        <f t="shared" ca="1" si="85"/>
        <v>6643463.333333333</v>
      </c>
      <c r="BO231" s="204">
        <f t="shared" ca="1" si="85"/>
        <v>6812948.3333333321</v>
      </c>
    </row>
    <row r="232" spans="1:67" x14ac:dyDescent="0.25">
      <c r="A232" s="41"/>
      <c r="B232" s="202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</row>
    <row r="233" spans="1:67" s="162" customFormat="1" hidden="1" x14ac:dyDescent="0.25">
      <c r="A233" s="159" t="s">
        <v>266</v>
      </c>
      <c r="B233" s="202"/>
      <c r="C233" s="161"/>
      <c r="D233" s="161"/>
      <c r="E233" s="161"/>
      <c r="F233" s="161"/>
      <c r="G233" s="161"/>
    </row>
    <row r="234" spans="1:67" hidden="1" x14ac:dyDescent="0.25"/>
    <row r="235" spans="1:67" hidden="1" x14ac:dyDescent="0.25">
      <c r="A235" s="230" t="s">
        <v>267</v>
      </c>
      <c r="B235" s="231"/>
      <c r="D235" s="232"/>
      <c r="E235" s="232"/>
      <c r="F235" s="232"/>
      <c r="G235" s="232"/>
      <c r="H235" s="233">
        <v>83333.333333333328</v>
      </c>
      <c r="I235" s="233">
        <v>83333.333333333328</v>
      </c>
      <c r="J235" s="233">
        <v>83333.333333333328</v>
      </c>
      <c r="K235" s="234">
        <v>66666.666666666672</v>
      </c>
      <c r="L235" s="234">
        <v>66666.666666666672</v>
      </c>
      <c r="M235" s="234">
        <v>66666.666666666672</v>
      </c>
      <c r="N235" s="233">
        <v>50000</v>
      </c>
      <c r="O235" s="233">
        <v>50000</v>
      </c>
      <c r="P235" s="233">
        <v>50000</v>
      </c>
      <c r="Q235" s="234">
        <v>0</v>
      </c>
      <c r="R235" s="234">
        <v>0</v>
      </c>
      <c r="S235" s="234">
        <v>0</v>
      </c>
      <c r="T235" s="233">
        <v>0</v>
      </c>
      <c r="U235" s="233">
        <v>0</v>
      </c>
      <c r="V235" s="233">
        <v>0</v>
      </c>
      <c r="W235" s="234">
        <v>0</v>
      </c>
      <c r="X235" s="234">
        <v>0</v>
      </c>
      <c r="Y235" s="234">
        <v>0</v>
      </c>
      <c r="Z235" s="233">
        <v>0</v>
      </c>
      <c r="AA235" s="233">
        <v>0</v>
      </c>
      <c r="AB235" s="233">
        <v>0</v>
      </c>
      <c r="AC235" s="234">
        <v>0</v>
      </c>
      <c r="AD235" s="234">
        <v>0</v>
      </c>
      <c r="AE235" s="234">
        <v>0</v>
      </c>
      <c r="AF235" s="233">
        <v>0</v>
      </c>
      <c r="AG235" s="233">
        <v>0</v>
      </c>
      <c r="AH235" s="233">
        <v>0</v>
      </c>
      <c r="AI235" s="234">
        <v>0</v>
      </c>
      <c r="AJ235" s="234">
        <v>0</v>
      </c>
      <c r="AK235" s="234">
        <v>0</v>
      </c>
      <c r="AL235" s="233">
        <v>0</v>
      </c>
      <c r="AM235" s="233">
        <v>0</v>
      </c>
      <c r="AN235" s="233">
        <v>0</v>
      </c>
      <c r="AO235" s="234">
        <v>0</v>
      </c>
      <c r="AP235" s="234">
        <v>0</v>
      </c>
      <c r="AQ235" s="234">
        <v>0</v>
      </c>
      <c r="AR235" s="233">
        <v>0</v>
      </c>
      <c r="AS235" s="233">
        <v>0</v>
      </c>
      <c r="AT235" s="233">
        <v>0</v>
      </c>
      <c r="AU235" s="234">
        <v>0</v>
      </c>
      <c r="AV235" s="234">
        <v>0</v>
      </c>
      <c r="AW235" s="234">
        <v>0</v>
      </c>
      <c r="AX235" s="233">
        <v>0</v>
      </c>
      <c r="AY235" s="233">
        <v>0</v>
      </c>
      <c r="AZ235" s="233">
        <v>0</v>
      </c>
      <c r="BA235" s="234">
        <v>0</v>
      </c>
      <c r="BB235" s="234">
        <v>0</v>
      </c>
      <c r="BC235" s="234">
        <v>0</v>
      </c>
      <c r="BD235" s="233">
        <v>0</v>
      </c>
      <c r="BE235" s="233">
        <v>0</v>
      </c>
      <c r="BF235" s="233">
        <v>0</v>
      </c>
      <c r="BG235" s="234">
        <v>0</v>
      </c>
      <c r="BH235" s="234">
        <v>0</v>
      </c>
      <c r="BI235" s="234">
        <v>0</v>
      </c>
      <c r="BJ235" s="233">
        <v>0</v>
      </c>
      <c r="BK235" s="233">
        <v>0</v>
      </c>
      <c r="BL235" s="233">
        <v>0</v>
      </c>
      <c r="BM235" s="234">
        <v>0</v>
      </c>
      <c r="BN235" s="234">
        <v>0</v>
      </c>
      <c r="BO235" s="234">
        <v>0</v>
      </c>
    </row>
    <row r="236" spans="1:67" hidden="1" x14ac:dyDescent="0.25">
      <c r="A236" s="230" t="s">
        <v>170</v>
      </c>
      <c r="B236" s="231"/>
      <c r="D236" s="232"/>
      <c r="E236" s="232"/>
      <c r="F236" s="232"/>
      <c r="G236" s="232"/>
      <c r="H236" s="233">
        <v>66666.666666666672</v>
      </c>
      <c r="I236" s="233">
        <v>66666.666666666672</v>
      </c>
      <c r="J236" s="233">
        <v>66666.666666666672</v>
      </c>
      <c r="K236" s="234">
        <v>0</v>
      </c>
      <c r="L236" s="234">
        <v>0</v>
      </c>
      <c r="M236" s="234">
        <v>0</v>
      </c>
      <c r="N236" s="233">
        <v>0</v>
      </c>
      <c r="O236" s="233">
        <v>0</v>
      </c>
      <c r="P236" s="233">
        <v>0</v>
      </c>
      <c r="Q236" s="234">
        <v>0</v>
      </c>
      <c r="R236" s="234">
        <v>0</v>
      </c>
      <c r="S236" s="234">
        <v>0</v>
      </c>
      <c r="T236" s="233">
        <v>0</v>
      </c>
      <c r="U236" s="233">
        <v>0</v>
      </c>
      <c r="V236" s="233">
        <v>0</v>
      </c>
      <c r="W236" s="234">
        <v>0</v>
      </c>
      <c r="X236" s="234">
        <v>0</v>
      </c>
      <c r="Y236" s="234">
        <v>0</v>
      </c>
      <c r="Z236" s="233">
        <v>0</v>
      </c>
      <c r="AA236" s="233">
        <v>0</v>
      </c>
      <c r="AB236" s="233">
        <v>0</v>
      </c>
      <c r="AC236" s="234">
        <v>0</v>
      </c>
      <c r="AD236" s="234">
        <v>0</v>
      </c>
      <c r="AE236" s="234">
        <v>0</v>
      </c>
      <c r="AF236" s="233">
        <v>0</v>
      </c>
      <c r="AG236" s="233">
        <v>0</v>
      </c>
      <c r="AH236" s="233">
        <v>0</v>
      </c>
      <c r="AI236" s="234">
        <v>0</v>
      </c>
      <c r="AJ236" s="234">
        <v>0</v>
      </c>
      <c r="AK236" s="234">
        <v>0</v>
      </c>
      <c r="AL236" s="233">
        <v>0</v>
      </c>
      <c r="AM236" s="233">
        <v>0</v>
      </c>
      <c r="AN236" s="233">
        <v>0</v>
      </c>
      <c r="AO236" s="234">
        <v>0</v>
      </c>
      <c r="AP236" s="234">
        <v>0</v>
      </c>
      <c r="AQ236" s="234">
        <v>0</v>
      </c>
      <c r="AR236" s="233">
        <v>0</v>
      </c>
      <c r="AS236" s="233">
        <v>0</v>
      </c>
      <c r="AT236" s="233">
        <v>0</v>
      </c>
      <c r="AU236" s="234">
        <v>0</v>
      </c>
      <c r="AV236" s="234">
        <v>0</v>
      </c>
      <c r="AW236" s="234">
        <v>0</v>
      </c>
      <c r="AX236" s="233">
        <v>0</v>
      </c>
      <c r="AY236" s="233">
        <v>0</v>
      </c>
      <c r="AZ236" s="233">
        <v>0</v>
      </c>
      <c r="BA236" s="234">
        <v>0</v>
      </c>
      <c r="BB236" s="234">
        <v>0</v>
      </c>
      <c r="BC236" s="234">
        <v>0</v>
      </c>
      <c r="BD236" s="233">
        <v>0</v>
      </c>
      <c r="BE236" s="233">
        <v>0</v>
      </c>
      <c r="BF236" s="233">
        <v>0</v>
      </c>
      <c r="BG236" s="234">
        <v>0</v>
      </c>
      <c r="BH236" s="234">
        <v>0</v>
      </c>
      <c r="BI236" s="234">
        <v>0</v>
      </c>
      <c r="BJ236" s="233">
        <v>0</v>
      </c>
      <c r="BK236" s="233">
        <v>0</v>
      </c>
      <c r="BL236" s="233">
        <v>0</v>
      </c>
      <c r="BM236" s="234">
        <v>0</v>
      </c>
      <c r="BN236" s="234">
        <v>0</v>
      </c>
      <c r="BO236" s="234">
        <v>0</v>
      </c>
    </row>
    <row r="237" spans="1:67" hidden="1" x14ac:dyDescent="0.25">
      <c r="A237" s="230" t="s">
        <v>268</v>
      </c>
      <c r="B237" s="231"/>
      <c r="D237" s="232"/>
      <c r="E237" s="232"/>
      <c r="F237" s="232"/>
      <c r="G237" s="232"/>
      <c r="H237" s="233">
        <v>0</v>
      </c>
      <c r="I237" s="233">
        <v>0</v>
      </c>
      <c r="J237" s="233">
        <v>0</v>
      </c>
      <c r="K237" s="234">
        <v>0</v>
      </c>
      <c r="L237" s="234">
        <v>0</v>
      </c>
      <c r="M237" s="234">
        <v>0</v>
      </c>
      <c r="N237" s="233">
        <v>0</v>
      </c>
      <c r="O237" s="233">
        <v>0</v>
      </c>
      <c r="P237" s="233">
        <v>0</v>
      </c>
      <c r="Q237" s="234">
        <v>0</v>
      </c>
      <c r="R237" s="234">
        <v>0</v>
      </c>
      <c r="S237" s="234">
        <v>0</v>
      </c>
      <c r="T237" s="233">
        <v>83333.333333333328</v>
      </c>
      <c r="U237" s="233">
        <v>83333.333333333328</v>
      </c>
      <c r="V237" s="233">
        <v>83333.333333333328</v>
      </c>
      <c r="W237" s="234">
        <v>83333.333333333328</v>
      </c>
      <c r="X237" s="234">
        <v>83333.333333333328</v>
      </c>
      <c r="Y237" s="234">
        <v>83333.333333333328</v>
      </c>
      <c r="Z237" s="233">
        <v>83333.333333333328</v>
      </c>
      <c r="AA237" s="233">
        <v>83333.333333333328</v>
      </c>
      <c r="AB237" s="233">
        <v>83333.333333333328</v>
      </c>
      <c r="AC237" s="234">
        <v>83333.333333333328</v>
      </c>
      <c r="AD237" s="234">
        <v>83333.333333333328</v>
      </c>
      <c r="AE237" s="234">
        <v>83333.333333333328</v>
      </c>
      <c r="AF237" s="233">
        <v>166666.66666666666</v>
      </c>
      <c r="AG237" s="233">
        <v>166666.66666666666</v>
      </c>
      <c r="AH237" s="233">
        <v>166666.66666666666</v>
      </c>
      <c r="AI237" s="234">
        <v>166666.66666666666</v>
      </c>
      <c r="AJ237" s="234">
        <v>166666.66666666666</v>
      </c>
      <c r="AK237" s="234">
        <v>166666.66666666666</v>
      </c>
      <c r="AL237" s="233">
        <v>166666.66666666666</v>
      </c>
      <c r="AM237" s="233">
        <v>166666.66666666666</v>
      </c>
      <c r="AN237" s="233">
        <v>166666.66666666666</v>
      </c>
      <c r="AO237" s="234">
        <v>166666.66666666666</v>
      </c>
      <c r="AP237" s="234">
        <v>166666.66666666666</v>
      </c>
      <c r="AQ237" s="234">
        <v>166666.66666666666</v>
      </c>
      <c r="AR237" s="233">
        <v>166666.66666666666</v>
      </c>
      <c r="AS237" s="233">
        <v>166666.66666666666</v>
      </c>
      <c r="AT237" s="233">
        <v>166666.66666666666</v>
      </c>
      <c r="AU237" s="234">
        <v>166666.66666666666</v>
      </c>
      <c r="AV237" s="234">
        <v>166666.66666666666</v>
      </c>
      <c r="AW237" s="234">
        <v>166666.66666666666</v>
      </c>
      <c r="AX237" s="233">
        <v>166666.66666666666</v>
      </c>
      <c r="AY237" s="233">
        <v>166666.66666666666</v>
      </c>
      <c r="AZ237" s="233">
        <v>166666.66666666666</v>
      </c>
      <c r="BA237" s="234">
        <v>166666.66666666666</v>
      </c>
      <c r="BB237" s="234">
        <v>166666.66666666666</v>
      </c>
      <c r="BC237" s="234">
        <v>166666.66666666666</v>
      </c>
      <c r="BD237" s="233">
        <v>166666.66666666666</v>
      </c>
      <c r="BE237" s="233">
        <v>166666.66666666666</v>
      </c>
      <c r="BF237" s="233">
        <v>166666.66666666666</v>
      </c>
      <c r="BG237" s="234">
        <v>166666.66666666666</v>
      </c>
      <c r="BH237" s="234">
        <v>166666.66666666666</v>
      </c>
      <c r="BI237" s="234">
        <v>166666.66666666666</v>
      </c>
      <c r="BJ237" s="233">
        <v>166666.66666666666</v>
      </c>
      <c r="BK237" s="233">
        <v>166666.66666666666</v>
      </c>
      <c r="BL237" s="233">
        <v>166666.66666666666</v>
      </c>
      <c r="BM237" s="234">
        <v>166666.66666666666</v>
      </c>
      <c r="BN237" s="234">
        <v>166666.66666666666</v>
      </c>
      <c r="BO237" s="234">
        <v>166666.66666666666</v>
      </c>
    </row>
    <row r="238" spans="1:67" hidden="1" x14ac:dyDescent="0.25">
      <c r="A238" s="230" t="s">
        <v>269</v>
      </c>
      <c r="B238" s="231"/>
      <c r="D238" s="232"/>
      <c r="E238" s="232"/>
      <c r="F238" s="232"/>
      <c r="G238" s="232"/>
      <c r="H238" s="233">
        <v>33333.333333333336</v>
      </c>
      <c r="I238" s="233">
        <v>33333.333333333336</v>
      </c>
      <c r="J238" s="233">
        <v>33333.333333333336</v>
      </c>
      <c r="K238" s="234">
        <v>0</v>
      </c>
      <c r="L238" s="234">
        <v>0</v>
      </c>
      <c r="M238" s="234">
        <v>0</v>
      </c>
      <c r="N238" s="233">
        <v>0</v>
      </c>
      <c r="O238" s="233">
        <v>0</v>
      </c>
      <c r="P238" s="233">
        <v>0</v>
      </c>
      <c r="Q238" s="234">
        <v>0</v>
      </c>
      <c r="R238" s="234">
        <v>0</v>
      </c>
      <c r="S238" s="234">
        <v>0</v>
      </c>
      <c r="T238" s="233">
        <v>33333.333333333336</v>
      </c>
      <c r="U238" s="233">
        <v>33333.333333333336</v>
      </c>
      <c r="V238" s="233">
        <v>33333.333333333336</v>
      </c>
      <c r="W238" s="234">
        <v>0</v>
      </c>
      <c r="X238" s="234">
        <v>0</v>
      </c>
      <c r="Y238" s="234">
        <v>0</v>
      </c>
      <c r="Z238" s="233">
        <v>0</v>
      </c>
      <c r="AA238" s="233">
        <v>0</v>
      </c>
      <c r="AB238" s="233">
        <v>0</v>
      </c>
      <c r="AC238" s="234">
        <v>0</v>
      </c>
      <c r="AD238" s="234">
        <v>0</v>
      </c>
      <c r="AE238" s="234">
        <v>0</v>
      </c>
      <c r="AF238" s="233">
        <v>33333.333333333336</v>
      </c>
      <c r="AG238" s="233">
        <v>33333.333333333336</v>
      </c>
      <c r="AH238" s="233">
        <v>33333.333333333336</v>
      </c>
      <c r="AI238" s="234">
        <v>0</v>
      </c>
      <c r="AJ238" s="234">
        <v>0</v>
      </c>
      <c r="AK238" s="234">
        <v>0</v>
      </c>
      <c r="AL238" s="233">
        <v>0</v>
      </c>
      <c r="AM238" s="233">
        <v>0</v>
      </c>
      <c r="AN238" s="233">
        <v>0</v>
      </c>
      <c r="AO238" s="234">
        <v>0</v>
      </c>
      <c r="AP238" s="234">
        <v>0</v>
      </c>
      <c r="AQ238" s="234">
        <v>0</v>
      </c>
      <c r="AR238" s="233">
        <v>33333.333333333336</v>
      </c>
      <c r="AS238" s="233">
        <v>33333.333333333336</v>
      </c>
      <c r="AT238" s="233">
        <v>33333.333333333336</v>
      </c>
      <c r="AU238" s="234">
        <v>0</v>
      </c>
      <c r="AV238" s="234">
        <v>0</v>
      </c>
      <c r="AW238" s="234">
        <v>0</v>
      </c>
      <c r="AX238" s="233">
        <v>0</v>
      </c>
      <c r="AY238" s="233">
        <v>0</v>
      </c>
      <c r="AZ238" s="233">
        <v>0</v>
      </c>
      <c r="BA238" s="234">
        <v>0</v>
      </c>
      <c r="BB238" s="234">
        <v>0</v>
      </c>
      <c r="BC238" s="234">
        <v>0</v>
      </c>
      <c r="BD238" s="233">
        <v>33333.333333333336</v>
      </c>
      <c r="BE238" s="233">
        <v>33333.333333333336</v>
      </c>
      <c r="BF238" s="233">
        <v>33333.333333333336</v>
      </c>
      <c r="BG238" s="234">
        <v>0</v>
      </c>
      <c r="BH238" s="234">
        <v>0</v>
      </c>
      <c r="BI238" s="234">
        <v>0</v>
      </c>
      <c r="BJ238" s="233">
        <v>0</v>
      </c>
      <c r="BK238" s="233">
        <v>0</v>
      </c>
      <c r="BL238" s="233">
        <v>0</v>
      </c>
      <c r="BM238" s="234">
        <v>0</v>
      </c>
      <c r="BN238" s="234">
        <v>0</v>
      </c>
      <c r="BO238" s="234">
        <v>0</v>
      </c>
    </row>
    <row r="239" spans="1:67" hidden="1" x14ac:dyDescent="0.25">
      <c r="A239" s="230" t="s">
        <v>270</v>
      </c>
      <c r="B239" s="231"/>
      <c r="D239" s="232"/>
      <c r="E239" s="232"/>
      <c r="F239" s="232"/>
      <c r="G239" s="232"/>
      <c r="H239" s="233">
        <v>0</v>
      </c>
      <c r="I239" s="233">
        <v>0</v>
      </c>
      <c r="J239" s="233">
        <v>0</v>
      </c>
      <c r="K239" s="234">
        <v>0</v>
      </c>
      <c r="L239" s="234">
        <v>0</v>
      </c>
      <c r="M239" s="234">
        <v>0</v>
      </c>
      <c r="N239" s="233">
        <v>0</v>
      </c>
      <c r="O239" s="233">
        <v>0</v>
      </c>
      <c r="P239" s="233">
        <v>0</v>
      </c>
      <c r="Q239" s="234">
        <v>0</v>
      </c>
      <c r="R239" s="234">
        <v>0</v>
      </c>
      <c r="S239" s="234">
        <v>0</v>
      </c>
      <c r="T239" s="233">
        <v>83333.333333333328</v>
      </c>
      <c r="U239" s="233">
        <v>83333.333333333328</v>
      </c>
      <c r="V239" s="233">
        <v>83333.333333333328</v>
      </c>
      <c r="W239" s="234">
        <v>83333.333333333328</v>
      </c>
      <c r="X239" s="234">
        <v>83333.333333333328</v>
      </c>
      <c r="Y239" s="234">
        <v>83333.333333333328</v>
      </c>
      <c r="Z239" s="233">
        <v>0</v>
      </c>
      <c r="AA239" s="233">
        <v>0</v>
      </c>
      <c r="AB239" s="233">
        <v>0</v>
      </c>
      <c r="AC239" s="234">
        <v>0</v>
      </c>
      <c r="AD239" s="234">
        <v>0</v>
      </c>
      <c r="AE239" s="234">
        <v>0</v>
      </c>
      <c r="AF239" s="233">
        <v>83333.333333333328</v>
      </c>
      <c r="AG239" s="233">
        <v>83333.333333333328</v>
      </c>
      <c r="AH239" s="233">
        <v>83333.333333333328</v>
      </c>
      <c r="AI239" s="234">
        <v>83333.333333333328</v>
      </c>
      <c r="AJ239" s="234">
        <v>83333.333333333328</v>
      </c>
      <c r="AK239" s="234">
        <v>83333.333333333328</v>
      </c>
      <c r="AL239" s="233">
        <v>0</v>
      </c>
      <c r="AM239" s="233">
        <v>0</v>
      </c>
      <c r="AN239" s="233">
        <v>0</v>
      </c>
      <c r="AO239" s="234">
        <v>0</v>
      </c>
      <c r="AP239" s="234">
        <v>0</v>
      </c>
      <c r="AQ239" s="234">
        <v>0</v>
      </c>
      <c r="AR239" s="233">
        <v>83333.333333333328</v>
      </c>
      <c r="AS239" s="233">
        <v>83333.333333333328</v>
      </c>
      <c r="AT239" s="233">
        <v>83333.333333333328</v>
      </c>
      <c r="AU239" s="234">
        <v>83333.333333333328</v>
      </c>
      <c r="AV239" s="234">
        <v>83333.333333333328</v>
      </c>
      <c r="AW239" s="234">
        <v>83333.333333333328</v>
      </c>
      <c r="AX239" s="233">
        <v>0</v>
      </c>
      <c r="AY239" s="233">
        <v>0</v>
      </c>
      <c r="AZ239" s="233">
        <v>0</v>
      </c>
      <c r="BA239" s="234">
        <v>0</v>
      </c>
      <c r="BB239" s="234">
        <v>0</v>
      </c>
      <c r="BC239" s="234">
        <v>0</v>
      </c>
      <c r="BD239" s="233">
        <v>83333.333333333328</v>
      </c>
      <c r="BE239" s="233">
        <v>83333.333333333328</v>
      </c>
      <c r="BF239" s="233">
        <v>83333.333333333328</v>
      </c>
      <c r="BG239" s="234">
        <v>83333.333333333328</v>
      </c>
      <c r="BH239" s="234">
        <v>83333.333333333328</v>
      </c>
      <c r="BI239" s="234">
        <v>83333.333333333328</v>
      </c>
      <c r="BJ239" s="233">
        <v>0</v>
      </c>
      <c r="BK239" s="233">
        <v>0</v>
      </c>
      <c r="BL239" s="233">
        <v>0</v>
      </c>
      <c r="BM239" s="234">
        <v>0</v>
      </c>
      <c r="BN239" s="234">
        <v>0</v>
      </c>
      <c r="BO239" s="234">
        <v>0</v>
      </c>
    </row>
    <row r="240" spans="1:67" hidden="1" x14ac:dyDescent="0.25">
      <c r="A240" s="230" t="s">
        <v>271</v>
      </c>
      <c r="B240" s="231"/>
      <c r="D240" s="232"/>
      <c r="E240" s="232"/>
      <c r="F240" s="232"/>
      <c r="G240" s="232"/>
      <c r="H240" s="233">
        <v>0</v>
      </c>
      <c r="I240" s="233">
        <v>0</v>
      </c>
      <c r="J240" s="233">
        <v>0</v>
      </c>
      <c r="K240" s="234">
        <v>0</v>
      </c>
      <c r="L240" s="234">
        <v>0</v>
      </c>
      <c r="M240" s="234">
        <v>0</v>
      </c>
      <c r="N240" s="233">
        <v>16666.666666666668</v>
      </c>
      <c r="O240" s="233">
        <v>16666.666666666668</v>
      </c>
      <c r="P240" s="233">
        <v>16666.666666666668</v>
      </c>
      <c r="Q240" s="234">
        <v>16666.666666666668</v>
      </c>
      <c r="R240" s="234">
        <v>16666.666666666668</v>
      </c>
      <c r="S240" s="234">
        <v>16666.666666666668</v>
      </c>
      <c r="T240" s="233">
        <v>0</v>
      </c>
      <c r="U240" s="233">
        <v>0</v>
      </c>
      <c r="V240" s="233">
        <v>0</v>
      </c>
      <c r="W240" s="234">
        <v>0</v>
      </c>
      <c r="X240" s="234">
        <v>0</v>
      </c>
      <c r="Y240" s="234">
        <v>0</v>
      </c>
      <c r="Z240" s="233">
        <v>0</v>
      </c>
      <c r="AA240" s="233">
        <v>0</v>
      </c>
      <c r="AB240" s="233">
        <v>0</v>
      </c>
      <c r="AC240" s="234">
        <v>0</v>
      </c>
      <c r="AD240" s="234">
        <v>0</v>
      </c>
      <c r="AE240" s="234">
        <v>0</v>
      </c>
      <c r="AF240" s="233">
        <v>0</v>
      </c>
      <c r="AG240" s="233">
        <v>0</v>
      </c>
      <c r="AH240" s="233">
        <v>0</v>
      </c>
      <c r="AI240" s="234">
        <v>0</v>
      </c>
      <c r="AJ240" s="234">
        <v>0</v>
      </c>
      <c r="AK240" s="234">
        <v>0</v>
      </c>
      <c r="AL240" s="233">
        <v>0</v>
      </c>
      <c r="AM240" s="233">
        <v>0</v>
      </c>
      <c r="AN240" s="233">
        <v>0</v>
      </c>
      <c r="AO240" s="234">
        <v>0</v>
      </c>
      <c r="AP240" s="234">
        <v>0</v>
      </c>
      <c r="AQ240" s="234">
        <v>0</v>
      </c>
      <c r="AR240" s="233">
        <v>0</v>
      </c>
      <c r="AS240" s="233">
        <v>0</v>
      </c>
      <c r="AT240" s="233">
        <v>0</v>
      </c>
      <c r="AU240" s="234">
        <v>0</v>
      </c>
      <c r="AV240" s="234">
        <v>0</v>
      </c>
      <c r="AW240" s="234">
        <v>0</v>
      </c>
      <c r="AX240" s="233">
        <v>0</v>
      </c>
      <c r="AY240" s="233">
        <v>0</v>
      </c>
      <c r="AZ240" s="233">
        <v>0</v>
      </c>
      <c r="BA240" s="234">
        <v>0</v>
      </c>
      <c r="BB240" s="234">
        <v>0</v>
      </c>
      <c r="BC240" s="234">
        <v>0</v>
      </c>
      <c r="BD240" s="233">
        <v>0</v>
      </c>
      <c r="BE240" s="233">
        <v>0</v>
      </c>
      <c r="BF240" s="233">
        <v>0</v>
      </c>
      <c r="BG240" s="234">
        <v>0</v>
      </c>
      <c r="BH240" s="234">
        <v>0</v>
      </c>
      <c r="BI240" s="234">
        <v>0</v>
      </c>
      <c r="BJ240" s="233">
        <v>0</v>
      </c>
      <c r="BK240" s="233">
        <v>0</v>
      </c>
      <c r="BL240" s="233">
        <v>0</v>
      </c>
      <c r="BM240" s="234">
        <v>0</v>
      </c>
      <c r="BN240" s="234">
        <v>0</v>
      </c>
      <c r="BO240" s="234">
        <v>0</v>
      </c>
    </row>
    <row r="241" spans="1:67" hidden="1" x14ac:dyDescent="0.25">
      <c r="A241" s="230" t="s">
        <v>272</v>
      </c>
      <c r="B241" s="231"/>
      <c r="D241" s="232"/>
      <c r="E241" s="232"/>
      <c r="F241" s="232"/>
      <c r="G241" s="232"/>
      <c r="H241" s="233">
        <v>0</v>
      </c>
      <c r="I241" s="233">
        <v>0</v>
      </c>
      <c r="J241" s="233">
        <v>0</v>
      </c>
      <c r="K241" s="234">
        <v>0</v>
      </c>
      <c r="L241" s="234">
        <v>0</v>
      </c>
      <c r="M241" s="234">
        <v>0</v>
      </c>
      <c r="N241" s="233">
        <v>0</v>
      </c>
      <c r="O241" s="233">
        <v>0</v>
      </c>
      <c r="P241" s="233">
        <v>0</v>
      </c>
      <c r="Q241" s="234">
        <v>0</v>
      </c>
      <c r="R241" s="234">
        <v>0</v>
      </c>
      <c r="S241" s="234">
        <v>0</v>
      </c>
      <c r="T241" s="233">
        <v>83333.333333333328</v>
      </c>
      <c r="U241" s="233">
        <v>83333.333333333328</v>
      </c>
      <c r="V241" s="233">
        <v>83333.333333333328</v>
      </c>
      <c r="W241" s="234">
        <v>83333.333333333328</v>
      </c>
      <c r="X241" s="234">
        <v>83333.333333333328</v>
      </c>
      <c r="Y241" s="234">
        <v>83333.333333333328</v>
      </c>
      <c r="Z241" s="233">
        <v>0</v>
      </c>
      <c r="AA241" s="233">
        <v>0</v>
      </c>
      <c r="AB241" s="233">
        <v>0</v>
      </c>
      <c r="AC241" s="234">
        <v>0</v>
      </c>
      <c r="AD241" s="234">
        <v>0</v>
      </c>
      <c r="AE241" s="234">
        <v>0</v>
      </c>
      <c r="AF241" s="233">
        <v>83333.333333333328</v>
      </c>
      <c r="AG241" s="233">
        <v>83333.333333333328</v>
      </c>
      <c r="AH241" s="233">
        <v>83333.333333333328</v>
      </c>
      <c r="AI241" s="234">
        <v>83333.333333333328</v>
      </c>
      <c r="AJ241" s="234">
        <v>83333.333333333328</v>
      </c>
      <c r="AK241" s="234">
        <v>83333.333333333328</v>
      </c>
      <c r="AL241" s="233">
        <v>0</v>
      </c>
      <c r="AM241" s="233">
        <v>0</v>
      </c>
      <c r="AN241" s="233">
        <v>0</v>
      </c>
      <c r="AO241" s="234">
        <v>0</v>
      </c>
      <c r="AP241" s="234">
        <v>0</v>
      </c>
      <c r="AQ241" s="234">
        <v>0</v>
      </c>
      <c r="AR241" s="233">
        <v>83333.333333333328</v>
      </c>
      <c r="AS241" s="233">
        <v>83333.333333333328</v>
      </c>
      <c r="AT241" s="233">
        <v>83333.333333333328</v>
      </c>
      <c r="AU241" s="234">
        <v>83333.333333333328</v>
      </c>
      <c r="AV241" s="234">
        <v>83333.333333333328</v>
      </c>
      <c r="AW241" s="234">
        <v>83333.333333333328</v>
      </c>
      <c r="AX241" s="233">
        <v>0</v>
      </c>
      <c r="AY241" s="233">
        <v>0</v>
      </c>
      <c r="AZ241" s="233">
        <v>0</v>
      </c>
      <c r="BA241" s="234">
        <v>0</v>
      </c>
      <c r="BB241" s="234">
        <v>0</v>
      </c>
      <c r="BC241" s="234">
        <v>0</v>
      </c>
      <c r="BD241" s="233">
        <v>83333.333333333328</v>
      </c>
      <c r="BE241" s="233">
        <v>83333.333333333328</v>
      </c>
      <c r="BF241" s="233">
        <v>83333.333333333328</v>
      </c>
      <c r="BG241" s="234">
        <v>83333.333333333328</v>
      </c>
      <c r="BH241" s="234">
        <v>83333.333333333328</v>
      </c>
      <c r="BI241" s="234">
        <v>83333.333333333328</v>
      </c>
      <c r="BJ241" s="233">
        <v>0</v>
      </c>
      <c r="BK241" s="233">
        <v>0</v>
      </c>
      <c r="BL241" s="233">
        <v>0</v>
      </c>
      <c r="BM241" s="234">
        <v>0</v>
      </c>
      <c r="BN241" s="234">
        <v>0</v>
      </c>
      <c r="BO241" s="234">
        <v>0</v>
      </c>
    </row>
    <row r="242" spans="1:67" hidden="1" x14ac:dyDescent="0.25">
      <c r="A242" s="230" t="s">
        <v>273</v>
      </c>
      <c r="B242" s="231"/>
      <c r="D242" s="232"/>
      <c r="E242" s="232"/>
      <c r="F242" s="232"/>
      <c r="G242" s="232"/>
      <c r="H242" s="233">
        <v>0</v>
      </c>
      <c r="I242" s="233">
        <v>0</v>
      </c>
      <c r="J242" s="233">
        <v>0</v>
      </c>
      <c r="K242" s="234">
        <v>16666.666666666668</v>
      </c>
      <c r="L242" s="234">
        <v>16666.666666666668</v>
      </c>
      <c r="M242" s="234">
        <v>16666.666666666668</v>
      </c>
      <c r="N242" s="233">
        <v>33333.333333333336</v>
      </c>
      <c r="O242" s="233">
        <v>33333.333333333336</v>
      </c>
      <c r="P242" s="233">
        <v>33333.333333333336</v>
      </c>
      <c r="Q242" s="234">
        <v>33333.333333333336</v>
      </c>
      <c r="R242" s="234">
        <v>33333.333333333336</v>
      </c>
      <c r="S242" s="234">
        <v>33333.333333333336</v>
      </c>
      <c r="T242" s="233">
        <v>66666.666666666672</v>
      </c>
      <c r="U242" s="233">
        <v>66666.666666666672</v>
      </c>
      <c r="V242" s="233">
        <v>66666.666666666672</v>
      </c>
      <c r="W242" s="234">
        <v>66666.666666666672</v>
      </c>
      <c r="X242" s="234">
        <v>66666.666666666672</v>
      </c>
      <c r="Y242" s="234">
        <v>66666.666666666672</v>
      </c>
      <c r="Z242" s="233">
        <v>66666.666666666672</v>
      </c>
      <c r="AA242" s="233">
        <v>66666.666666666672</v>
      </c>
      <c r="AB242" s="233">
        <v>66666.666666666672</v>
      </c>
      <c r="AC242" s="234">
        <v>66666.666666666672</v>
      </c>
      <c r="AD242" s="234">
        <v>66666.666666666672</v>
      </c>
      <c r="AE242" s="234">
        <v>66666.666666666672</v>
      </c>
      <c r="AF242" s="233">
        <v>133333.33333333334</v>
      </c>
      <c r="AG242" s="233">
        <v>133333.33333333334</v>
      </c>
      <c r="AH242" s="233">
        <v>133333.33333333334</v>
      </c>
      <c r="AI242" s="234">
        <v>133333.33333333334</v>
      </c>
      <c r="AJ242" s="234">
        <v>133333.33333333334</v>
      </c>
      <c r="AK242" s="234">
        <v>133333.33333333334</v>
      </c>
      <c r="AL242" s="233">
        <v>133333.33333333334</v>
      </c>
      <c r="AM242" s="233">
        <v>133333.33333333334</v>
      </c>
      <c r="AN242" s="233">
        <v>133333.33333333334</v>
      </c>
      <c r="AO242" s="234">
        <v>133333.33333333334</v>
      </c>
      <c r="AP242" s="234">
        <v>133333.33333333334</v>
      </c>
      <c r="AQ242" s="234">
        <v>133333.33333333334</v>
      </c>
      <c r="AR242" s="233">
        <v>133333.33333333334</v>
      </c>
      <c r="AS242" s="233">
        <v>133333.33333333334</v>
      </c>
      <c r="AT242" s="233">
        <v>133333.33333333334</v>
      </c>
      <c r="AU242" s="234">
        <v>133333.33333333334</v>
      </c>
      <c r="AV242" s="234">
        <v>133333.33333333334</v>
      </c>
      <c r="AW242" s="234">
        <v>133333.33333333334</v>
      </c>
      <c r="AX242" s="233">
        <v>133333.33333333334</v>
      </c>
      <c r="AY242" s="233">
        <v>133333.33333333334</v>
      </c>
      <c r="AZ242" s="233">
        <v>133333.33333333334</v>
      </c>
      <c r="BA242" s="234">
        <v>133333.33333333334</v>
      </c>
      <c r="BB242" s="234">
        <v>133333.33333333334</v>
      </c>
      <c r="BC242" s="234">
        <v>133333.33333333334</v>
      </c>
      <c r="BD242" s="233">
        <v>133333.33333333334</v>
      </c>
      <c r="BE242" s="233">
        <v>133333.33333333334</v>
      </c>
      <c r="BF242" s="233">
        <v>133333.33333333334</v>
      </c>
      <c r="BG242" s="234">
        <v>133333.33333333334</v>
      </c>
      <c r="BH242" s="234">
        <v>133333.33333333334</v>
      </c>
      <c r="BI242" s="234">
        <v>133333.33333333334</v>
      </c>
      <c r="BJ242" s="233">
        <v>133333.33333333334</v>
      </c>
      <c r="BK242" s="233">
        <v>133333.33333333334</v>
      </c>
      <c r="BL242" s="233">
        <v>133333.33333333334</v>
      </c>
      <c r="BM242" s="234">
        <v>133333.33333333334</v>
      </c>
      <c r="BN242" s="234">
        <v>133333.33333333334</v>
      </c>
      <c r="BO242" s="234">
        <v>133333.33333333334</v>
      </c>
    </row>
    <row r="243" spans="1:67" hidden="1" x14ac:dyDescent="0.25">
      <c r="A243" s="230" t="s">
        <v>274</v>
      </c>
      <c r="B243" s="231"/>
      <c r="D243" s="232"/>
      <c r="E243" s="232"/>
      <c r="F243" s="232"/>
      <c r="G243" s="232"/>
      <c r="H243" s="233">
        <v>5000</v>
      </c>
      <c r="I243" s="233">
        <v>5000</v>
      </c>
      <c r="J243" s="233">
        <v>5000</v>
      </c>
      <c r="K243" s="234">
        <v>5000</v>
      </c>
      <c r="L243" s="234">
        <v>5000</v>
      </c>
      <c r="M243" s="234">
        <v>5000</v>
      </c>
      <c r="N243" s="233">
        <v>5000</v>
      </c>
      <c r="O243" s="233">
        <v>5000</v>
      </c>
      <c r="P243" s="233">
        <v>5000</v>
      </c>
      <c r="Q243" s="234">
        <v>5000</v>
      </c>
      <c r="R243" s="234">
        <v>5000</v>
      </c>
      <c r="S243" s="234">
        <v>5000</v>
      </c>
      <c r="T243" s="233">
        <v>10000</v>
      </c>
      <c r="U243" s="233">
        <v>10000</v>
      </c>
      <c r="V243" s="233">
        <v>10000</v>
      </c>
      <c r="W243" s="234">
        <v>10000</v>
      </c>
      <c r="X243" s="234">
        <v>10000</v>
      </c>
      <c r="Y243" s="234">
        <v>10000</v>
      </c>
      <c r="Z243" s="233">
        <v>16666.666666666668</v>
      </c>
      <c r="AA243" s="233">
        <v>16666.666666666668</v>
      </c>
      <c r="AB243" s="233">
        <v>16666.666666666668</v>
      </c>
      <c r="AC243" s="234">
        <v>16666.666666666668</v>
      </c>
      <c r="AD243" s="234">
        <v>16666.666666666668</v>
      </c>
      <c r="AE243" s="234">
        <v>16666.666666666668</v>
      </c>
      <c r="AF243" s="233">
        <v>33333.333333333336</v>
      </c>
      <c r="AG243" s="233">
        <v>33333.333333333336</v>
      </c>
      <c r="AH243" s="233">
        <v>33333.333333333336</v>
      </c>
      <c r="AI243" s="234">
        <v>33333.333333333336</v>
      </c>
      <c r="AJ243" s="234">
        <v>33333.333333333336</v>
      </c>
      <c r="AK243" s="234">
        <v>33333.333333333336</v>
      </c>
      <c r="AL243" s="233">
        <v>33333.333333333336</v>
      </c>
      <c r="AM243" s="233">
        <v>33333.333333333336</v>
      </c>
      <c r="AN243" s="233">
        <v>33333.333333333336</v>
      </c>
      <c r="AO243" s="234">
        <v>33333.333333333336</v>
      </c>
      <c r="AP243" s="234">
        <v>33333.333333333336</v>
      </c>
      <c r="AQ243" s="234">
        <v>33333.333333333336</v>
      </c>
      <c r="AR243" s="233">
        <v>33333.333333333336</v>
      </c>
      <c r="AS243" s="233">
        <v>33333.333333333336</v>
      </c>
      <c r="AT243" s="233">
        <v>33333.333333333336</v>
      </c>
      <c r="AU243" s="234">
        <v>33333.333333333336</v>
      </c>
      <c r="AV243" s="234">
        <v>33333.333333333336</v>
      </c>
      <c r="AW243" s="234">
        <v>33333.333333333336</v>
      </c>
      <c r="AX243" s="233">
        <v>33333.333333333336</v>
      </c>
      <c r="AY243" s="233">
        <v>33333.333333333336</v>
      </c>
      <c r="AZ243" s="233">
        <v>33333.333333333336</v>
      </c>
      <c r="BA243" s="234">
        <v>33333.333333333336</v>
      </c>
      <c r="BB243" s="234">
        <v>33333.333333333336</v>
      </c>
      <c r="BC243" s="234">
        <v>33333.333333333336</v>
      </c>
      <c r="BD243" s="233">
        <v>33333.333333333336</v>
      </c>
      <c r="BE243" s="233">
        <v>33333.333333333336</v>
      </c>
      <c r="BF243" s="233">
        <v>33333.333333333336</v>
      </c>
      <c r="BG243" s="234">
        <v>33333.333333333336</v>
      </c>
      <c r="BH243" s="234">
        <v>33333.333333333336</v>
      </c>
      <c r="BI243" s="234">
        <v>33333.333333333336</v>
      </c>
      <c r="BJ243" s="233">
        <v>33333.333333333336</v>
      </c>
      <c r="BK243" s="233">
        <v>33333.333333333336</v>
      </c>
      <c r="BL243" s="233">
        <v>33333.333333333336</v>
      </c>
      <c r="BM243" s="234">
        <v>33333.333333333336</v>
      </c>
      <c r="BN243" s="234">
        <v>33333.333333333336</v>
      </c>
      <c r="BO243" s="234">
        <v>33333.333333333336</v>
      </c>
    </row>
    <row r="244" spans="1:67" s="25" customFormat="1" hidden="1" x14ac:dyDescent="0.25">
      <c r="A244" s="235" t="s">
        <v>243</v>
      </c>
      <c r="B244" s="236">
        <f>SUM(D244:AQ244)</f>
        <v>9470000</v>
      </c>
      <c r="D244" s="235">
        <f>SUM(D235:D243)</f>
        <v>0</v>
      </c>
      <c r="E244" s="235">
        <f t="shared" ref="E244:BO244" si="86">SUM(E235:E243)</f>
        <v>0</v>
      </c>
      <c r="F244" s="235">
        <f t="shared" si="86"/>
        <v>0</v>
      </c>
      <c r="G244" s="235">
        <f t="shared" si="86"/>
        <v>0</v>
      </c>
      <c r="H244" s="235">
        <f t="shared" si="86"/>
        <v>188333.33333333334</v>
      </c>
      <c r="I244" s="235">
        <f t="shared" si="86"/>
        <v>188333.33333333334</v>
      </c>
      <c r="J244" s="235">
        <f t="shared" si="86"/>
        <v>188333.33333333334</v>
      </c>
      <c r="K244" s="235">
        <f t="shared" si="86"/>
        <v>88333.333333333343</v>
      </c>
      <c r="L244" s="235">
        <f t="shared" si="86"/>
        <v>88333.333333333343</v>
      </c>
      <c r="M244" s="235">
        <f t="shared" si="86"/>
        <v>88333.333333333343</v>
      </c>
      <c r="N244" s="235">
        <f t="shared" si="86"/>
        <v>105000</v>
      </c>
      <c r="O244" s="235">
        <f t="shared" si="86"/>
        <v>105000</v>
      </c>
      <c r="P244" s="235">
        <f t="shared" si="86"/>
        <v>105000</v>
      </c>
      <c r="Q244" s="235">
        <f t="shared" si="86"/>
        <v>55000</v>
      </c>
      <c r="R244" s="235">
        <f t="shared" si="86"/>
        <v>55000</v>
      </c>
      <c r="S244" s="235">
        <f t="shared" si="86"/>
        <v>55000</v>
      </c>
      <c r="T244" s="235">
        <f t="shared" si="86"/>
        <v>360000</v>
      </c>
      <c r="U244" s="235">
        <f>SUM(U235:U243)</f>
        <v>360000</v>
      </c>
      <c r="V244" s="235">
        <f t="shared" si="86"/>
        <v>360000</v>
      </c>
      <c r="W244" s="235">
        <f t="shared" si="86"/>
        <v>326666.66666666669</v>
      </c>
      <c r="X244" s="235">
        <f t="shared" si="86"/>
        <v>326666.66666666669</v>
      </c>
      <c r="Y244" s="235">
        <f t="shared" si="86"/>
        <v>326666.66666666669</v>
      </c>
      <c r="Z244" s="235">
        <f t="shared" si="86"/>
        <v>166666.66666666666</v>
      </c>
      <c r="AA244" s="235">
        <f t="shared" si="86"/>
        <v>166666.66666666666</v>
      </c>
      <c r="AB244" s="235">
        <f t="shared" si="86"/>
        <v>166666.66666666666</v>
      </c>
      <c r="AC244" s="235">
        <f t="shared" si="86"/>
        <v>166666.66666666666</v>
      </c>
      <c r="AD244" s="235">
        <f t="shared" si="86"/>
        <v>166666.66666666666</v>
      </c>
      <c r="AE244" s="235">
        <f t="shared" si="86"/>
        <v>166666.66666666666</v>
      </c>
      <c r="AF244" s="235">
        <f t="shared" si="86"/>
        <v>533333.33333333337</v>
      </c>
      <c r="AG244" s="235">
        <f t="shared" si="86"/>
        <v>533333.33333333337</v>
      </c>
      <c r="AH244" s="235">
        <f t="shared" si="86"/>
        <v>533333.33333333337</v>
      </c>
      <c r="AI244" s="235">
        <f t="shared" si="86"/>
        <v>499999.99999999994</v>
      </c>
      <c r="AJ244" s="235">
        <f t="shared" si="86"/>
        <v>499999.99999999994</v>
      </c>
      <c r="AK244" s="235">
        <f t="shared" si="86"/>
        <v>499999.99999999994</v>
      </c>
      <c r="AL244" s="235">
        <f t="shared" si="86"/>
        <v>333333.33333333331</v>
      </c>
      <c r="AM244" s="235">
        <f t="shared" si="86"/>
        <v>333333.33333333331</v>
      </c>
      <c r="AN244" s="235">
        <f t="shared" si="86"/>
        <v>333333.33333333331</v>
      </c>
      <c r="AO244" s="235">
        <f t="shared" si="86"/>
        <v>333333.33333333331</v>
      </c>
      <c r="AP244" s="235">
        <f t="shared" si="86"/>
        <v>333333.33333333331</v>
      </c>
      <c r="AQ244" s="235">
        <f t="shared" si="86"/>
        <v>333333.33333333331</v>
      </c>
      <c r="AR244" s="235">
        <f t="shared" si="86"/>
        <v>533333.33333333337</v>
      </c>
      <c r="AS244" s="235">
        <f t="shared" si="86"/>
        <v>533333.33333333337</v>
      </c>
      <c r="AT244" s="235">
        <f t="shared" si="86"/>
        <v>533333.33333333337</v>
      </c>
      <c r="AU244" s="235">
        <f t="shared" si="86"/>
        <v>499999.99999999994</v>
      </c>
      <c r="AV244" s="235">
        <f t="shared" si="86"/>
        <v>499999.99999999994</v>
      </c>
      <c r="AW244" s="235">
        <f t="shared" si="86"/>
        <v>499999.99999999994</v>
      </c>
      <c r="AX244" s="235">
        <f t="shared" si="86"/>
        <v>333333.33333333331</v>
      </c>
      <c r="AY244" s="235">
        <f t="shared" si="86"/>
        <v>333333.33333333331</v>
      </c>
      <c r="AZ244" s="235">
        <f t="shared" si="86"/>
        <v>333333.33333333331</v>
      </c>
      <c r="BA244" s="235">
        <f t="shared" si="86"/>
        <v>333333.33333333331</v>
      </c>
      <c r="BB244" s="235">
        <f t="shared" si="86"/>
        <v>333333.33333333331</v>
      </c>
      <c r="BC244" s="235">
        <f t="shared" si="86"/>
        <v>333333.33333333331</v>
      </c>
      <c r="BD244" s="235">
        <f t="shared" si="86"/>
        <v>533333.33333333337</v>
      </c>
      <c r="BE244" s="235">
        <f t="shared" si="86"/>
        <v>533333.33333333337</v>
      </c>
      <c r="BF244" s="235">
        <f t="shared" si="86"/>
        <v>533333.33333333337</v>
      </c>
      <c r="BG244" s="235">
        <f t="shared" si="86"/>
        <v>499999.99999999994</v>
      </c>
      <c r="BH244" s="235">
        <f t="shared" si="86"/>
        <v>499999.99999999994</v>
      </c>
      <c r="BI244" s="235">
        <f t="shared" si="86"/>
        <v>499999.99999999994</v>
      </c>
      <c r="BJ244" s="235">
        <f t="shared" si="86"/>
        <v>333333.33333333331</v>
      </c>
      <c r="BK244" s="235">
        <f t="shared" si="86"/>
        <v>333333.33333333331</v>
      </c>
      <c r="BL244" s="235">
        <f t="shared" si="86"/>
        <v>333333.33333333331</v>
      </c>
      <c r="BM244" s="235">
        <f t="shared" si="86"/>
        <v>333333.33333333331</v>
      </c>
      <c r="BN244" s="235">
        <f t="shared" si="86"/>
        <v>333333.33333333331</v>
      </c>
      <c r="BO244" s="235">
        <f t="shared" si="86"/>
        <v>333333.33333333331</v>
      </c>
    </row>
    <row r="245" spans="1:67" s="224" customFormat="1" hidden="1" x14ac:dyDescent="0.25">
      <c r="A245" s="237" t="s">
        <v>275</v>
      </c>
      <c r="B245" s="238">
        <f t="shared" ref="B245" si="87">MAX(D245:AQ245)</f>
        <v>9470000</v>
      </c>
      <c r="C245" s="183"/>
      <c r="D245" s="237">
        <f>D244</f>
        <v>0</v>
      </c>
      <c r="E245" s="237">
        <f>E244+D245</f>
        <v>0</v>
      </c>
      <c r="F245" s="237">
        <f t="shared" ref="F245:G245" si="88">F244+E245</f>
        <v>0</v>
      </c>
      <c r="G245" s="237">
        <f t="shared" si="88"/>
        <v>0</v>
      </c>
      <c r="H245" s="237">
        <f>H244+G245</f>
        <v>188333.33333333334</v>
      </c>
      <c r="I245" s="237">
        <f t="shared" ref="I245:BO245" si="89">I244+H245</f>
        <v>376666.66666666669</v>
      </c>
      <c r="J245" s="237">
        <f t="shared" si="89"/>
        <v>565000</v>
      </c>
      <c r="K245" s="237">
        <f t="shared" si="89"/>
        <v>653333.33333333337</v>
      </c>
      <c r="L245" s="237">
        <f t="shared" si="89"/>
        <v>741666.66666666674</v>
      </c>
      <c r="M245" s="237">
        <f t="shared" si="89"/>
        <v>830000.00000000012</v>
      </c>
      <c r="N245" s="237">
        <f t="shared" si="89"/>
        <v>935000.00000000012</v>
      </c>
      <c r="O245" s="237">
        <f t="shared" si="89"/>
        <v>1040000.0000000001</v>
      </c>
      <c r="P245" s="237">
        <f t="shared" si="89"/>
        <v>1145000</v>
      </c>
      <c r="Q245" s="237">
        <f t="shared" si="89"/>
        <v>1200000</v>
      </c>
      <c r="R245" s="237">
        <f t="shared" si="89"/>
        <v>1255000</v>
      </c>
      <c r="S245" s="237">
        <f t="shared" si="89"/>
        <v>1310000</v>
      </c>
      <c r="T245" s="237">
        <f t="shared" si="89"/>
        <v>1670000</v>
      </c>
      <c r="U245" s="237">
        <f t="shared" si="89"/>
        <v>2030000</v>
      </c>
      <c r="V245" s="237">
        <f t="shared" si="89"/>
        <v>2390000</v>
      </c>
      <c r="W245" s="237">
        <f t="shared" si="89"/>
        <v>2716666.6666666665</v>
      </c>
      <c r="X245" s="237">
        <f t="shared" si="89"/>
        <v>3043333.333333333</v>
      </c>
      <c r="Y245" s="237">
        <f t="shared" si="89"/>
        <v>3369999.9999999995</v>
      </c>
      <c r="Z245" s="237">
        <f t="shared" si="89"/>
        <v>3536666.666666666</v>
      </c>
      <c r="AA245" s="237">
        <f t="shared" si="89"/>
        <v>3703333.3333333326</v>
      </c>
      <c r="AB245" s="237">
        <f t="shared" si="89"/>
        <v>3869999.9999999991</v>
      </c>
      <c r="AC245" s="237">
        <f t="shared" si="89"/>
        <v>4036666.6666666656</v>
      </c>
      <c r="AD245" s="237">
        <f t="shared" si="89"/>
        <v>4203333.3333333321</v>
      </c>
      <c r="AE245" s="237">
        <f t="shared" si="89"/>
        <v>4369999.9999999991</v>
      </c>
      <c r="AF245" s="237">
        <f t="shared" si="89"/>
        <v>4903333.3333333321</v>
      </c>
      <c r="AG245" s="237">
        <f t="shared" si="89"/>
        <v>5436666.6666666651</v>
      </c>
      <c r="AH245" s="237">
        <f t="shared" si="89"/>
        <v>5969999.9999999981</v>
      </c>
      <c r="AI245" s="237">
        <f t="shared" si="89"/>
        <v>6469999.9999999981</v>
      </c>
      <c r="AJ245" s="237">
        <f t="shared" si="89"/>
        <v>6969999.9999999981</v>
      </c>
      <c r="AK245" s="237">
        <f t="shared" si="89"/>
        <v>7469999.9999999981</v>
      </c>
      <c r="AL245" s="237">
        <f t="shared" si="89"/>
        <v>7803333.3333333312</v>
      </c>
      <c r="AM245" s="237">
        <f t="shared" si="89"/>
        <v>8136666.6666666642</v>
      </c>
      <c r="AN245" s="237">
        <f t="shared" si="89"/>
        <v>8469999.9999999981</v>
      </c>
      <c r="AO245" s="237">
        <f t="shared" si="89"/>
        <v>8803333.3333333321</v>
      </c>
      <c r="AP245" s="237">
        <f t="shared" si="89"/>
        <v>9136666.666666666</v>
      </c>
      <c r="AQ245" s="237">
        <f t="shared" si="89"/>
        <v>9470000</v>
      </c>
      <c r="AR245" s="237">
        <f t="shared" si="89"/>
        <v>10003333.333333334</v>
      </c>
      <c r="AS245" s="237">
        <f t="shared" si="89"/>
        <v>10536666.666666668</v>
      </c>
      <c r="AT245" s="237">
        <f t="shared" si="89"/>
        <v>11070000.000000002</v>
      </c>
      <c r="AU245" s="237">
        <f t="shared" si="89"/>
        <v>11570000.000000002</v>
      </c>
      <c r="AV245" s="237">
        <f t="shared" si="89"/>
        <v>12070000.000000002</v>
      </c>
      <c r="AW245" s="237">
        <f t="shared" si="89"/>
        <v>12570000.000000002</v>
      </c>
      <c r="AX245" s="237">
        <f t="shared" si="89"/>
        <v>12903333.333333336</v>
      </c>
      <c r="AY245" s="237">
        <f t="shared" si="89"/>
        <v>13236666.66666667</v>
      </c>
      <c r="AZ245" s="237">
        <f t="shared" si="89"/>
        <v>13570000.000000004</v>
      </c>
      <c r="BA245" s="237">
        <f t="shared" si="89"/>
        <v>13903333.333333338</v>
      </c>
      <c r="BB245" s="237">
        <f t="shared" si="89"/>
        <v>14236666.666666672</v>
      </c>
      <c r="BC245" s="237">
        <f t="shared" si="89"/>
        <v>14570000.000000006</v>
      </c>
      <c r="BD245" s="237">
        <f t="shared" si="89"/>
        <v>15103333.33333334</v>
      </c>
      <c r="BE245" s="237">
        <f t="shared" si="89"/>
        <v>15636666.666666673</v>
      </c>
      <c r="BF245" s="237">
        <f t="shared" si="89"/>
        <v>16170000.000000007</v>
      </c>
      <c r="BG245" s="237">
        <f t="shared" si="89"/>
        <v>16670000.000000007</v>
      </c>
      <c r="BH245" s="237">
        <f t="shared" si="89"/>
        <v>17170000.000000007</v>
      </c>
      <c r="BI245" s="237">
        <f t="shared" si="89"/>
        <v>17670000.000000007</v>
      </c>
      <c r="BJ245" s="237">
        <f t="shared" si="89"/>
        <v>18003333.33333334</v>
      </c>
      <c r="BK245" s="237">
        <f t="shared" si="89"/>
        <v>18336666.666666672</v>
      </c>
      <c r="BL245" s="237">
        <f t="shared" si="89"/>
        <v>18670000.000000004</v>
      </c>
      <c r="BM245" s="237">
        <f t="shared" si="89"/>
        <v>19003333.333333336</v>
      </c>
      <c r="BN245" s="237">
        <f t="shared" si="89"/>
        <v>19336666.666666668</v>
      </c>
      <c r="BO245" s="237">
        <f t="shared" si="89"/>
        <v>19670000</v>
      </c>
    </row>
    <row r="246" spans="1:67" hidden="1" x14ac:dyDescent="0.25"/>
    <row r="247" spans="1:67" hidden="1" x14ac:dyDescent="0.25">
      <c r="A247" s="201" t="s">
        <v>276</v>
      </c>
      <c r="D247" s="203">
        <f t="shared" ref="D247:AI247" si="90">SUM(D97,D123,D149,D175,D225,D228,D244)</f>
        <v>11610</v>
      </c>
      <c r="E247" s="203">
        <f t="shared" si="90"/>
        <v>13220</v>
      </c>
      <c r="F247" s="203">
        <f t="shared" si="90"/>
        <v>14830</v>
      </c>
      <c r="G247" s="203">
        <f t="shared" si="90"/>
        <v>16440</v>
      </c>
      <c r="H247" s="204">
        <f t="shared" ca="1" si="90"/>
        <v>407583.33333333337</v>
      </c>
      <c r="I247" s="204">
        <f t="shared" ca="1" si="90"/>
        <v>424330</v>
      </c>
      <c r="J247" s="204">
        <f t="shared" ca="1" si="90"/>
        <v>441076.66666666669</v>
      </c>
      <c r="K247" s="204">
        <f t="shared" ca="1" si="90"/>
        <v>368305</v>
      </c>
      <c r="L247" s="204">
        <f t="shared" ca="1" si="90"/>
        <v>389881.66666666674</v>
      </c>
      <c r="M247" s="204">
        <f t="shared" ca="1" si="90"/>
        <v>413873.33333333337</v>
      </c>
      <c r="N247" s="204">
        <f t="shared" ca="1" si="90"/>
        <v>456946.66666666669</v>
      </c>
      <c r="O247" s="204">
        <f t="shared" ca="1" si="90"/>
        <v>485768.33333333331</v>
      </c>
      <c r="P247" s="204">
        <f t="shared" ca="1" si="90"/>
        <v>532675.83333333326</v>
      </c>
      <c r="Q247" s="204">
        <f t="shared" ca="1" si="90"/>
        <v>516327.5</v>
      </c>
      <c r="R247" s="204">
        <f t="shared" ca="1" si="90"/>
        <v>552394.16666666663</v>
      </c>
      <c r="S247" s="204">
        <f t="shared" ca="1" si="90"/>
        <v>590875.83333333326</v>
      </c>
      <c r="T247" s="204">
        <f t="shared" ca="1" si="90"/>
        <v>1353106.875</v>
      </c>
      <c r="U247" s="204">
        <f t="shared" ca="1" si="90"/>
        <v>1408981.0416666665</v>
      </c>
      <c r="V247" s="204">
        <f t="shared" ca="1" si="90"/>
        <v>1457186.875</v>
      </c>
      <c r="W247" s="204">
        <f t="shared" ca="1" si="90"/>
        <v>1474474.3750000002</v>
      </c>
      <c r="X247" s="204">
        <f t="shared" ca="1" si="90"/>
        <v>1527510.2083333333</v>
      </c>
      <c r="Y247" s="204">
        <f t="shared" ca="1" si="90"/>
        <v>1582961.0416666667</v>
      </c>
      <c r="Z247" s="204">
        <f t="shared" ca="1" si="90"/>
        <v>1500415.4166666667</v>
      </c>
      <c r="AA247" s="204">
        <f t="shared" ca="1" si="90"/>
        <v>1560696.2499999998</v>
      </c>
      <c r="AB247" s="204">
        <f t="shared" ca="1" si="90"/>
        <v>1623392.0833333333</v>
      </c>
      <c r="AC247" s="204">
        <f t="shared" ca="1" si="90"/>
        <v>1688502.9166666667</v>
      </c>
      <c r="AD247" s="204">
        <f t="shared" ca="1" si="90"/>
        <v>1756028.7499999998</v>
      </c>
      <c r="AE247" s="204">
        <f t="shared" ca="1" si="90"/>
        <v>1836052.9166666667</v>
      </c>
      <c r="AF247" s="204">
        <f t="shared" ca="1" si="90"/>
        <v>2857465</v>
      </c>
      <c r="AG247" s="204">
        <f t="shared" ca="1" si="90"/>
        <v>2935706.6666666665</v>
      </c>
      <c r="AH247" s="204">
        <f t="shared" ca="1" si="90"/>
        <v>3016363.3333333335</v>
      </c>
      <c r="AI247" s="204">
        <f t="shared" ca="1" si="90"/>
        <v>3066101.6666666665</v>
      </c>
      <c r="AJ247" s="204">
        <f t="shared" ref="AJ247:BO247" ca="1" si="91">SUM(AJ97,AJ123,AJ149,AJ175,AJ225,AJ228,AJ244)</f>
        <v>3176661.6666666665</v>
      </c>
      <c r="AK247" s="204">
        <f t="shared" ca="1" si="91"/>
        <v>3264563.333333333</v>
      </c>
      <c r="AL247" s="204">
        <f t="shared" ca="1" si="91"/>
        <v>3188213.3333333335</v>
      </c>
      <c r="AM247" s="204">
        <f t="shared" ca="1" si="91"/>
        <v>3280945.0000000005</v>
      </c>
      <c r="AN247" s="204">
        <f t="shared" ca="1" si="91"/>
        <v>3376091.666666667</v>
      </c>
      <c r="AO247" s="204">
        <f t="shared" ca="1" si="91"/>
        <v>3486560.0000000005</v>
      </c>
      <c r="AP247" s="204">
        <f t="shared" ca="1" si="91"/>
        <v>3586536.6666666665</v>
      </c>
      <c r="AQ247" s="204">
        <f t="shared" ca="1" si="91"/>
        <v>3688928.3333333335</v>
      </c>
      <c r="AR247" s="204">
        <f t="shared" ca="1" si="91"/>
        <v>4903363.75</v>
      </c>
      <c r="AS247" s="204">
        <f t="shared" ca="1" si="91"/>
        <v>5017527.083333333</v>
      </c>
      <c r="AT247" s="204">
        <f t="shared" ca="1" si="91"/>
        <v>5170148.333333333</v>
      </c>
      <c r="AU247" s="204">
        <f t="shared" ca="1" si="91"/>
        <v>5255808.333333333</v>
      </c>
      <c r="AV247" s="204">
        <f t="shared" ca="1" si="91"/>
        <v>5377216.666666667</v>
      </c>
      <c r="AW247" s="204">
        <f t="shared" ca="1" si="91"/>
        <v>5501040</v>
      </c>
      <c r="AX247" s="204">
        <f t="shared" ca="1" si="91"/>
        <v>5460611.666666666</v>
      </c>
      <c r="AY247" s="204">
        <f t="shared" ca="1" si="91"/>
        <v>5607818.333333333</v>
      </c>
      <c r="AZ247" s="204">
        <f t="shared" ca="1" si="91"/>
        <v>5738886.666666667</v>
      </c>
      <c r="BA247" s="204">
        <f t="shared" ca="1" si="91"/>
        <v>5872370</v>
      </c>
      <c r="BB247" s="204">
        <f t="shared" ca="1" si="91"/>
        <v>6008268.333333333</v>
      </c>
      <c r="BC247" s="204">
        <f t="shared" ca="1" si="91"/>
        <v>6146581.666666667</v>
      </c>
      <c r="BD247" s="204">
        <f t="shared" ca="1" si="91"/>
        <v>7632634.166666667</v>
      </c>
      <c r="BE247" s="204">
        <f t="shared" ca="1" si="91"/>
        <v>7782719.166666667</v>
      </c>
      <c r="BF247" s="204">
        <f t="shared" ca="1" si="91"/>
        <v>7935219.166666667</v>
      </c>
      <c r="BG247" s="204">
        <f t="shared" ca="1" si="91"/>
        <v>8056800.833333334</v>
      </c>
      <c r="BH247" s="204">
        <f t="shared" ca="1" si="91"/>
        <v>8214130.833333334</v>
      </c>
      <c r="BI247" s="204">
        <f t="shared" ca="1" si="91"/>
        <v>8398075.833333334</v>
      </c>
      <c r="BJ247" s="204">
        <f t="shared" ca="1" si="91"/>
        <v>8393569.1666666679</v>
      </c>
      <c r="BK247" s="204">
        <f t="shared" ca="1" si="91"/>
        <v>8558144.166666666</v>
      </c>
      <c r="BL247" s="204">
        <f t="shared" ca="1" si="91"/>
        <v>8725134.1666666679</v>
      </c>
      <c r="BM247" s="204">
        <f t="shared" ca="1" si="91"/>
        <v>8894539.166666666</v>
      </c>
      <c r="BN247" s="204">
        <f t="shared" ca="1" si="91"/>
        <v>9113371.6666666679</v>
      </c>
      <c r="BO247" s="204">
        <f t="shared" ca="1" si="91"/>
        <v>9287606.666666666</v>
      </c>
    </row>
    <row r="248" spans="1:67" s="224" customFormat="1" hidden="1" x14ac:dyDescent="0.25">
      <c r="A248" s="209" t="s">
        <v>264</v>
      </c>
      <c r="B248" s="225">
        <f t="shared" ref="B248" ca="1" si="92">MAX(D248:AQ248)</f>
        <v>63329583.75</v>
      </c>
      <c r="C248" s="183"/>
      <c r="D248" s="208">
        <f>D247</f>
        <v>11610</v>
      </c>
      <c r="E248" s="208">
        <f>E247+D248</f>
        <v>24830</v>
      </c>
      <c r="F248" s="208">
        <f t="shared" ref="F248:U248" si="93">F247+E248</f>
        <v>39660</v>
      </c>
      <c r="G248" s="208">
        <f t="shared" si="93"/>
        <v>56100</v>
      </c>
      <c r="H248" s="209">
        <f t="shared" ca="1" si="93"/>
        <v>463683.33333333337</v>
      </c>
      <c r="I248" s="209">
        <f t="shared" ca="1" si="93"/>
        <v>888013.33333333337</v>
      </c>
      <c r="J248" s="209">
        <f t="shared" ca="1" si="93"/>
        <v>1329090</v>
      </c>
      <c r="K248" s="209">
        <f t="shared" ca="1" si="93"/>
        <v>1697395</v>
      </c>
      <c r="L248" s="209">
        <f t="shared" ca="1" si="93"/>
        <v>2087276.6666666667</v>
      </c>
      <c r="M248" s="209">
        <f t="shared" ca="1" si="93"/>
        <v>2501150</v>
      </c>
      <c r="N248" s="209">
        <f t="shared" ca="1" si="93"/>
        <v>2958096.6666666665</v>
      </c>
      <c r="O248" s="209">
        <f t="shared" ca="1" si="93"/>
        <v>3443865</v>
      </c>
      <c r="P248" s="209">
        <f t="shared" ca="1" si="93"/>
        <v>3976540.833333333</v>
      </c>
      <c r="Q248" s="209">
        <f t="shared" ca="1" si="93"/>
        <v>4492868.333333333</v>
      </c>
      <c r="R248" s="209">
        <f t="shared" ca="1" si="93"/>
        <v>5045262.5</v>
      </c>
      <c r="S248" s="209">
        <f t="shared" ca="1" si="93"/>
        <v>5636138.333333333</v>
      </c>
      <c r="T248" s="209">
        <f t="shared" ca="1" si="93"/>
        <v>6989245.208333333</v>
      </c>
      <c r="U248" s="209">
        <f t="shared" ca="1" si="93"/>
        <v>8398226.25</v>
      </c>
      <c r="V248" s="209">
        <f ca="1">V247+U248</f>
        <v>9855413.125</v>
      </c>
      <c r="W248" s="209">
        <f t="shared" ref="W248" ca="1" si="94">W247+V248</f>
        <v>11329887.5</v>
      </c>
      <c r="X248" s="209">
        <f ca="1">X247+W248</f>
        <v>12857397.708333334</v>
      </c>
      <c r="Y248" s="209">
        <f t="shared" ref="Y248:BO248" ca="1" si="95">Y247+X248</f>
        <v>14440358.75</v>
      </c>
      <c r="Z248" s="209">
        <f t="shared" ca="1" si="95"/>
        <v>15940774.166666666</v>
      </c>
      <c r="AA248" s="209">
        <f t="shared" ca="1" si="95"/>
        <v>17501470.416666664</v>
      </c>
      <c r="AB248" s="209">
        <f t="shared" ca="1" si="95"/>
        <v>19124862.499999996</v>
      </c>
      <c r="AC248" s="209">
        <f t="shared" ca="1" si="95"/>
        <v>20813365.416666664</v>
      </c>
      <c r="AD248" s="209">
        <f t="shared" ca="1" si="95"/>
        <v>22569394.166666664</v>
      </c>
      <c r="AE248" s="209">
        <f t="shared" ca="1" si="95"/>
        <v>24405447.083333332</v>
      </c>
      <c r="AF248" s="209">
        <f t="shared" ca="1" si="95"/>
        <v>27262912.083333332</v>
      </c>
      <c r="AG248" s="209">
        <f t="shared" ca="1" si="95"/>
        <v>30198618.75</v>
      </c>
      <c r="AH248" s="209">
        <f t="shared" ca="1" si="95"/>
        <v>33214982.083333332</v>
      </c>
      <c r="AI248" s="209">
        <f t="shared" ca="1" si="95"/>
        <v>36281083.75</v>
      </c>
      <c r="AJ248" s="209">
        <f t="shared" ca="1" si="95"/>
        <v>39457745.416666664</v>
      </c>
      <c r="AK248" s="209">
        <f t="shared" ca="1" si="95"/>
        <v>42722308.75</v>
      </c>
      <c r="AL248" s="209">
        <f t="shared" ca="1" si="95"/>
        <v>45910522.083333336</v>
      </c>
      <c r="AM248" s="209">
        <f t="shared" ca="1" si="95"/>
        <v>49191467.083333336</v>
      </c>
      <c r="AN248" s="209">
        <f t="shared" ca="1" si="95"/>
        <v>52567558.75</v>
      </c>
      <c r="AO248" s="209">
        <f t="shared" ca="1" si="95"/>
        <v>56054118.75</v>
      </c>
      <c r="AP248" s="209">
        <f t="shared" ca="1" si="95"/>
        <v>59640655.416666664</v>
      </c>
      <c r="AQ248" s="209">
        <f t="shared" ca="1" si="95"/>
        <v>63329583.75</v>
      </c>
      <c r="AR248" s="209">
        <f t="shared" ca="1" si="95"/>
        <v>68232947.5</v>
      </c>
      <c r="AS248" s="209">
        <f t="shared" ca="1" si="95"/>
        <v>73250474.583333328</v>
      </c>
      <c r="AT248" s="209">
        <f t="shared" ca="1" si="95"/>
        <v>78420622.916666657</v>
      </c>
      <c r="AU248" s="209">
        <f t="shared" ca="1" si="95"/>
        <v>83676431.249999985</v>
      </c>
      <c r="AV248" s="209">
        <f t="shared" ca="1" si="95"/>
        <v>89053647.916666657</v>
      </c>
      <c r="AW248" s="209">
        <f t="shared" ca="1" si="95"/>
        <v>94554687.916666657</v>
      </c>
      <c r="AX248" s="209">
        <f t="shared" ca="1" si="95"/>
        <v>100015299.58333333</v>
      </c>
      <c r="AY248" s="209">
        <f t="shared" ca="1" si="95"/>
        <v>105623117.91666666</v>
      </c>
      <c r="AZ248" s="209">
        <f t="shared" ca="1" si="95"/>
        <v>111362004.58333333</v>
      </c>
      <c r="BA248" s="209">
        <f t="shared" ca="1" si="95"/>
        <v>117234374.58333333</v>
      </c>
      <c r="BB248" s="209">
        <f t="shared" ca="1" si="95"/>
        <v>123242642.91666666</v>
      </c>
      <c r="BC248" s="209">
        <f t="shared" ca="1" si="95"/>
        <v>129389224.58333333</v>
      </c>
      <c r="BD248" s="209">
        <f t="shared" ca="1" si="95"/>
        <v>137021858.75</v>
      </c>
      <c r="BE248" s="209">
        <f t="shared" ca="1" si="95"/>
        <v>144804577.91666666</v>
      </c>
      <c r="BF248" s="209">
        <f t="shared" ca="1" si="95"/>
        <v>152739797.08333331</v>
      </c>
      <c r="BG248" s="209">
        <f t="shared" ca="1" si="95"/>
        <v>160796597.91666666</v>
      </c>
      <c r="BH248" s="209">
        <f t="shared" ca="1" si="95"/>
        <v>169010728.75</v>
      </c>
      <c r="BI248" s="209">
        <f t="shared" ca="1" si="95"/>
        <v>177408804.58333334</v>
      </c>
      <c r="BJ248" s="209">
        <f t="shared" ca="1" si="95"/>
        <v>185802373.75</v>
      </c>
      <c r="BK248" s="209">
        <f t="shared" ca="1" si="95"/>
        <v>194360517.91666666</v>
      </c>
      <c r="BL248" s="209">
        <f t="shared" ca="1" si="95"/>
        <v>203085652.08333331</v>
      </c>
      <c r="BM248" s="209">
        <f t="shared" ca="1" si="95"/>
        <v>211980191.24999997</v>
      </c>
      <c r="BN248" s="209">
        <f t="shared" ca="1" si="95"/>
        <v>221093562.91666663</v>
      </c>
      <c r="BO248" s="209">
        <f t="shared" ca="1" si="95"/>
        <v>230381169.58333328</v>
      </c>
    </row>
    <row r="249" spans="1:67" hidden="1" x14ac:dyDescent="0.25"/>
    <row r="250" spans="1:67" s="153" customFormat="1" ht="15.75" thickBot="1" x14ac:dyDescent="0.3">
      <c r="A250" s="151"/>
      <c r="B250" s="152"/>
    </row>
    <row r="251" spans="1:67" s="157" customFormat="1" ht="25.5" customHeight="1" thickBot="1" x14ac:dyDescent="0.35">
      <c r="A251" s="155" t="s">
        <v>145</v>
      </c>
      <c r="B251" s="156"/>
    </row>
    <row r="253" spans="1:67" s="243" customFormat="1" x14ac:dyDescent="0.25">
      <c r="A253" s="159" t="s">
        <v>132</v>
      </c>
      <c r="B253" s="239">
        <f ca="1">SUM(D253:AQ253)</f>
        <v>131778499.99999999</v>
      </c>
      <c r="C253" s="240"/>
      <c r="D253" s="241">
        <f t="shared" ref="D253:AI253" si="96">D45</f>
        <v>32199.999999999993</v>
      </c>
      <c r="E253" s="241">
        <f t="shared" si="96"/>
        <v>64399.999999999985</v>
      </c>
      <c r="F253" s="241">
        <f t="shared" si="96"/>
        <v>96599.999999999971</v>
      </c>
      <c r="G253" s="241">
        <f t="shared" si="96"/>
        <v>128799.99999999997</v>
      </c>
      <c r="H253" s="242">
        <f t="shared" ca="1" si="96"/>
        <v>160999.99999999997</v>
      </c>
      <c r="I253" s="242">
        <f t="shared" ca="1" si="96"/>
        <v>193199.99999999994</v>
      </c>
      <c r="J253" s="242">
        <f t="shared" ca="1" si="96"/>
        <v>225399.99999999994</v>
      </c>
      <c r="K253" s="242">
        <f t="shared" ca="1" si="96"/>
        <v>273699.99999999994</v>
      </c>
      <c r="L253" s="242">
        <f t="shared" ca="1" si="96"/>
        <v>338099.99999999994</v>
      </c>
      <c r="M253" s="242">
        <f t="shared" ca="1" si="96"/>
        <v>418599.99999999983</v>
      </c>
      <c r="N253" s="242">
        <f t="shared" ca="1" si="96"/>
        <v>515199.99999999983</v>
      </c>
      <c r="O253" s="242">
        <f t="shared" ca="1" si="96"/>
        <v>627899.99999999988</v>
      </c>
      <c r="P253" s="242">
        <f t="shared" ca="1" si="96"/>
        <v>756699.99999999977</v>
      </c>
      <c r="Q253" s="242">
        <f t="shared" ca="1" si="96"/>
        <v>901599.99999999977</v>
      </c>
      <c r="R253" s="242">
        <f t="shared" ca="1" si="96"/>
        <v>1062599.9999999998</v>
      </c>
      <c r="S253" s="242">
        <f t="shared" ca="1" si="96"/>
        <v>1239699.9999999998</v>
      </c>
      <c r="T253" s="242">
        <f t="shared" ca="1" si="96"/>
        <v>1432899.9999999998</v>
      </c>
      <c r="U253" s="242">
        <f t="shared" ca="1" si="96"/>
        <v>1642199.9999999995</v>
      </c>
      <c r="V253" s="242">
        <f t="shared" ca="1" si="96"/>
        <v>1867599.9999999995</v>
      </c>
      <c r="W253" s="242">
        <f t="shared" ca="1" si="96"/>
        <v>2109099.9999999995</v>
      </c>
      <c r="X253" s="242">
        <f t="shared" ca="1" si="96"/>
        <v>2366699.9999999995</v>
      </c>
      <c r="Y253" s="242">
        <f t="shared" ca="1" si="96"/>
        <v>2640399.9999999995</v>
      </c>
      <c r="Z253" s="242">
        <f t="shared" ca="1" si="96"/>
        <v>2930199.9999999995</v>
      </c>
      <c r="AA253" s="242">
        <f t="shared" ca="1" si="96"/>
        <v>3236099.9999999991</v>
      </c>
      <c r="AB253" s="242">
        <f t="shared" ca="1" si="96"/>
        <v>3558099.9999999991</v>
      </c>
      <c r="AC253" s="242">
        <f t="shared" ca="1" si="96"/>
        <v>3896199.9999999991</v>
      </c>
      <c r="AD253" s="242">
        <f t="shared" ca="1" si="96"/>
        <v>4250399.9999999991</v>
      </c>
      <c r="AE253" s="242">
        <f t="shared" ca="1" si="96"/>
        <v>4620699.9999999991</v>
      </c>
      <c r="AF253" s="242">
        <f t="shared" ca="1" si="96"/>
        <v>5007099.9999999991</v>
      </c>
      <c r="AG253" s="242">
        <f t="shared" ca="1" si="96"/>
        <v>5409599.9999999991</v>
      </c>
      <c r="AH253" s="242">
        <f t="shared" ca="1" si="96"/>
        <v>5828199.9999999991</v>
      </c>
      <c r="AI253" s="242">
        <f t="shared" ca="1" si="96"/>
        <v>6262899.9999999981</v>
      </c>
      <c r="AJ253" s="242">
        <f t="shared" ref="AJ253:BO253" ca="1" si="97">AJ45</f>
        <v>6713699.9999999981</v>
      </c>
      <c r="AK253" s="242">
        <f t="shared" ca="1" si="97"/>
        <v>7180599.9999999981</v>
      </c>
      <c r="AL253" s="242">
        <f t="shared" ca="1" si="97"/>
        <v>7663599.9999999981</v>
      </c>
      <c r="AM253" s="242">
        <f t="shared" ca="1" si="97"/>
        <v>8162699.9999999981</v>
      </c>
      <c r="AN253" s="242">
        <f t="shared" ca="1" si="97"/>
        <v>8677899.9999999981</v>
      </c>
      <c r="AO253" s="242">
        <f t="shared" ca="1" si="97"/>
        <v>9209199.9999999981</v>
      </c>
      <c r="AP253" s="242">
        <f t="shared" ca="1" si="97"/>
        <v>9756599.9999999981</v>
      </c>
      <c r="AQ253" s="242">
        <f t="shared" ca="1" si="97"/>
        <v>10320099.999999998</v>
      </c>
      <c r="AR253" s="242">
        <f t="shared" ca="1" si="97"/>
        <v>10899699.999999998</v>
      </c>
      <c r="AS253" s="242">
        <f t="shared" ca="1" si="97"/>
        <v>11495399.999999998</v>
      </c>
      <c r="AT253" s="242">
        <f t="shared" ca="1" si="97"/>
        <v>12107199.999999996</v>
      </c>
      <c r="AU253" s="242">
        <f t="shared" ca="1" si="97"/>
        <v>12735099.999999996</v>
      </c>
      <c r="AV253" s="242">
        <f t="shared" ca="1" si="97"/>
        <v>13379099.999999996</v>
      </c>
      <c r="AW253" s="242">
        <f t="shared" ca="1" si="97"/>
        <v>14039199.999999996</v>
      </c>
      <c r="AX253" s="242">
        <f t="shared" ca="1" si="97"/>
        <v>14715399.999999996</v>
      </c>
      <c r="AY253" s="242">
        <f t="shared" ca="1" si="97"/>
        <v>15407699.999999996</v>
      </c>
      <c r="AZ253" s="242">
        <f t="shared" ca="1" si="97"/>
        <v>16116099.999999996</v>
      </c>
      <c r="BA253" s="242">
        <f t="shared" ca="1" si="97"/>
        <v>16840599.999999996</v>
      </c>
      <c r="BB253" s="242">
        <f t="shared" ca="1" si="97"/>
        <v>17581199.999999996</v>
      </c>
      <c r="BC253" s="242">
        <f t="shared" ca="1" si="97"/>
        <v>18337899.999999996</v>
      </c>
      <c r="BD253" s="242">
        <f t="shared" ca="1" si="97"/>
        <v>19110699.999999996</v>
      </c>
      <c r="BE253" s="242">
        <f t="shared" ca="1" si="97"/>
        <v>19899599.999999996</v>
      </c>
      <c r="BF253" s="242">
        <f t="shared" ca="1" si="97"/>
        <v>20704599.999999996</v>
      </c>
      <c r="BG253" s="242">
        <f t="shared" ca="1" si="97"/>
        <v>21525699.999999996</v>
      </c>
      <c r="BH253" s="242">
        <f t="shared" ca="1" si="97"/>
        <v>22362899.999999996</v>
      </c>
      <c r="BI253" s="242">
        <f t="shared" ca="1" si="97"/>
        <v>23216199.999999996</v>
      </c>
      <c r="BJ253" s="242">
        <f t="shared" ca="1" si="97"/>
        <v>24085599.999999993</v>
      </c>
      <c r="BK253" s="242">
        <f t="shared" ca="1" si="97"/>
        <v>24971099.999999993</v>
      </c>
      <c r="BL253" s="242">
        <f t="shared" ca="1" si="97"/>
        <v>25872699.999999993</v>
      </c>
      <c r="BM253" s="242">
        <f t="shared" ca="1" si="97"/>
        <v>26790399.999999993</v>
      </c>
      <c r="BN253" s="242">
        <f t="shared" ca="1" si="97"/>
        <v>27724199.999999993</v>
      </c>
      <c r="BO253" s="242">
        <f t="shared" ca="1" si="97"/>
        <v>28674099.999999993</v>
      </c>
    </row>
    <row r="254" spans="1:67" s="25" customFormat="1" x14ac:dyDescent="0.25">
      <c r="A254" s="25" t="s">
        <v>277</v>
      </c>
      <c r="B254" s="239">
        <f t="shared" ref="B254" ca="1" si="98">MAX(D254:AQ254)</f>
        <v>131778499.99999999</v>
      </c>
      <c r="C254" s="244"/>
      <c r="D254" s="212">
        <f>D253</f>
        <v>32199.999999999993</v>
      </c>
      <c r="E254" s="212">
        <f>E253+D254</f>
        <v>96599.999999999971</v>
      </c>
      <c r="F254" s="212">
        <f t="shared" ref="F254:BO254" si="99">F253+E254</f>
        <v>193199.99999999994</v>
      </c>
      <c r="G254" s="212">
        <f t="shared" si="99"/>
        <v>321999.99999999988</v>
      </c>
      <c r="H254" s="25">
        <f t="shared" ca="1" si="99"/>
        <v>482999.99999999988</v>
      </c>
      <c r="I254" s="25">
        <f t="shared" ca="1" si="99"/>
        <v>676199.99999999977</v>
      </c>
      <c r="J254" s="25">
        <f t="shared" ca="1" si="99"/>
        <v>901599.99999999977</v>
      </c>
      <c r="K254" s="25">
        <f t="shared" ca="1" si="99"/>
        <v>1175299.9999999998</v>
      </c>
      <c r="L254" s="25">
        <f t="shared" ca="1" si="99"/>
        <v>1513399.9999999998</v>
      </c>
      <c r="M254" s="25">
        <f t="shared" ca="1" si="99"/>
        <v>1931999.9999999995</v>
      </c>
      <c r="N254" s="25">
        <f t="shared" ca="1" si="99"/>
        <v>2447199.9999999995</v>
      </c>
      <c r="O254" s="25">
        <f t="shared" ca="1" si="99"/>
        <v>3075099.9999999995</v>
      </c>
      <c r="P254" s="25">
        <f t="shared" ca="1" si="99"/>
        <v>3831799.9999999991</v>
      </c>
      <c r="Q254" s="25">
        <f t="shared" ca="1" si="99"/>
        <v>4733399.9999999991</v>
      </c>
      <c r="R254" s="25">
        <f t="shared" ca="1" si="99"/>
        <v>5795999.9999999991</v>
      </c>
      <c r="S254" s="25">
        <f t="shared" ca="1" si="99"/>
        <v>7035699.9999999991</v>
      </c>
      <c r="T254" s="25">
        <f t="shared" ca="1" si="99"/>
        <v>8468599.9999999981</v>
      </c>
      <c r="U254" s="25">
        <f t="shared" ca="1" si="99"/>
        <v>10110799.999999998</v>
      </c>
      <c r="V254" s="25">
        <f t="shared" ca="1" si="99"/>
        <v>11978399.999999998</v>
      </c>
      <c r="W254" s="25">
        <f t="shared" ca="1" si="99"/>
        <v>14087499.999999998</v>
      </c>
      <c r="X254" s="25">
        <f t="shared" ca="1" si="99"/>
        <v>16454199.999999998</v>
      </c>
      <c r="Y254" s="25">
        <f t="shared" ca="1" si="99"/>
        <v>19094599.999999996</v>
      </c>
      <c r="Z254" s="25">
        <f t="shared" ca="1" si="99"/>
        <v>22024799.999999996</v>
      </c>
      <c r="AA254" s="25">
        <f t="shared" ca="1" si="99"/>
        <v>25260899.999999996</v>
      </c>
      <c r="AB254" s="25">
        <f t="shared" ca="1" si="99"/>
        <v>28818999.999999996</v>
      </c>
      <c r="AC254" s="25">
        <f t="shared" ca="1" si="99"/>
        <v>32715199.999999996</v>
      </c>
      <c r="AD254" s="25">
        <f t="shared" ca="1" si="99"/>
        <v>36965599.999999993</v>
      </c>
      <c r="AE254" s="25">
        <f t="shared" ca="1" si="99"/>
        <v>41586299.999999993</v>
      </c>
      <c r="AF254" s="25">
        <f t="shared" ca="1" si="99"/>
        <v>46593399.999999993</v>
      </c>
      <c r="AG254" s="25">
        <f t="shared" ca="1" si="99"/>
        <v>52002999.999999993</v>
      </c>
      <c r="AH254" s="25">
        <f t="shared" ca="1" si="99"/>
        <v>57831199.999999993</v>
      </c>
      <c r="AI254" s="25">
        <f t="shared" ca="1" si="99"/>
        <v>64094099.999999993</v>
      </c>
      <c r="AJ254" s="25">
        <f t="shared" ca="1" si="99"/>
        <v>70807799.999999985</v>
      </c>
      <c r="AK254" s="25">
        <f t="shared" ca="1" si="99"/>
        <v>77988399.999999985</v>
      </c>
      <c r="AL254" s="25">
        <f t="shared" ca="1" si="99"/>
        <v>85651999.999999985</v>
      </c>
      <c r="AM254" s="25">
        <f t="shared" ca="1" si="99"/>
        <v>93814699.999999985</v>
      </c>
      <c r="AN254" s="25">
        <f t="shared" ca="1" si="99"/>
        <v>102492599.99999999</v>
      </c>
      <c r="AO254" s="25">
        <f t="shared" ca="1" si="99"/>
        <v>111701799.99999999</v>
      </c>
      <c r="AP254" s="25">
        <f t="shared" ca="1" si="99"/>
        <v>121458399.99999999</v>
      </c>
      <c r="AQ254" s="25">
        <f t="shared" ca="1" si="99"/>
        <v>131778499.99999999</v>
      </c>
      <c r="AR254" s="25">
        <f t="shared" ca="1" si="99"/>
        <v>142678199.99999997</v>
      </c>
      <c r="AS254" s="25">
        <f t="shared" ca="1" si="99"/>
        <v>154173599.99999997</v>
      </c>
      <c r="AT254" s="25">
        <f t="shared" ca="1" si="99"/>
        <v>166280799.99999997</v>
      </c>
      <c r="AU254" s="25">
        <f t="shared" ca="1" si="99"/>
        <v>179015899.99999997</v>
      </c>
      <c r="AV254" s="25">
        <f t="shared" ca="1" si="99"/>
        <v>192394999.99999997</v>
      </c>
      <c r="AW254" s="25">
        <f t="shared" ca="1" si="99"/>
        <v>206434199.99999997</v>
      </c>
      <c r="AX254" s="25">
        <f t="shared" ca="1" si="99"/>
        <v>221149599.99999997</v>
      </c>
      <c r="AY254" s="25">
        <f t="shared" ca="1" si="99"/>
        <v>236557299.99999997</v>
      </c>
      <c r="AZ254" s="25">
        <f t="shared" ca="1" si="99"/>
        <v>252673399.99999997</v>
      </c>
      <c r="BA254" s="25">
        <f t="shared" ca="1" si="99"/>
        <v>269513999.99999994</v>
      </c>
      <c r="BB254" s="25">
        <f t="shared" ca="1" si="99"/>
        <v>287095199.99999994</v>
      </c>
      <c r="BC254" s="25">
        <f t="shared" ca="1" si="99"/>
        <v>305433099.99999994</v>
      </c>
      <c r="BD254" s="25">
        <f t="shared" ca="1" si="99"/>
        <v>324543799.99999994</v>
      </c>
      <c r="BE254" s="25">
        <f t="shared" ca="1" si="99"/>
        <v>344443399.99999994</v>
      </c>
      <c r="BF254" s="25">
        <f t="shared" ca="1" si="99"/>
        <v>365147999.99999994</v>
      </c>
      <c r="BG254" s="25">
        <f t="shared" ca="1" si="99"/>
        <v>386673699.99999994</v>
      </c>
      <c r="BH254" s="25">
        <f t="shared" ca="1" si="99"/>
        <v>409036599.99999994</v>
      </c>
      <c r="BI254" s="25">
        <f t="shared" ca="1" si="99"/>
        <v>432252799.99999994</v>
      </c>
      <c r="BJ254" s="25">
        <f t="shared" ca="1" si="99"/>
        <v>456338399.99999994</v>
      </c>
      <c r="BK254" s="25">
        <f t="shared" ca="1" si="99"/>
        <v>481309499.99999994</v>
      </c>
      <c r="BL254" s="25">
        <f t="shared" ca="1" si="99"/>
        <v>507182199.99999994</v>
      </c>
      <c r="BM254" s="25">
        <f t="shared" ca="1" si="99"/>
        <v>533972599.99999994</v>
      </c>
      <c r="BN254" s="25">
        <f t="shared" ca="1" si="99"/>
        <v>561696799.99999988</v>
      </c>
      <c r="BO254" s="25">
        <f t="shared" ca="1" si="99"/>
        <v>590370899.99999988</v>
      </c>
    </row>
    <row r="255" spans="1:67" s="3" customFormat="1" x14ac:dyDescent="0.25">
      <c r="A255" s="176"/>
      <c r="B255" s="245"/>
      <c r="C255" s="244"/>
      <c r="D255" s="244"/>
      <c r="E255" s="244"/>
      <c r="F255" s="244"/>
      <c r="G255" s="244"/>
    </row>
    <row r="256" spans="1:67" s="243" customFormat="1" x14ac:dyDescent="0.25">
      <c r="A256" s="159" t="s">
        <v>138</v>
      </c>
      <c r="B256" s="239">
        <f ca="1">SUM(D256:AQ256)</f>
        <v>63329583.75</v>
      </c>
      <c r="C256" s="240"/>
      <c r="D256" s="241">
        <f>D247</f>
        <v>11610</v>
      </c>
      <c r="E256" s="241">
        <f t="shared" ref="E256:G256" si="100">E247</f>
        <v>13220</v>
      </c>
      <c r="F256" s="241">
        <f t="shared" si="100"/>
        <v>14830</v>
      </c>
      <c r="G256" s="241">
        <f t="shared" si="100"/>
        <v>16440</v>
      </c>
      <c r="H256" s="242">
        <f ca="1">H247</f>
        <v>407583.33333333337</v>
      </c>
      <c r="I256" s="242">
        <f t="shared" ref="I256:BO256" ca="1" si="101">I247</f>
        <v>424330</v>
      </c>
      <c r="J256" s="242">
        <f t="shared" ca="1" si="101"/>
        <v>441076.66666666669</v>
      </c>
      <c r="K256" s="242">
        <f t="shared" ca="1" si="101"/>
        <v>368305</v>
      </c>
      <c r="L256" s="242">
        <f t="shared" ca="1" si="101"/>
        <v>389881.66666666674</v>
      </c>
      <c r="M256" s="242">
        <f t="shared" ca="1" si="101"/>
        <v>413873.33333333337</v>
      </c>
      <c r="N256" s="242">
        <f t="shared" ca="1" si="101"/>
        <v>456946.66666666669</v>
      </c>
      <c r="O256" s="242">
        <f t="shared" ca="1" si="101"/>
        <v>485768.33333333331</v>
      </c>
      <c r="P256" s="242">
        <f t="shared" ca="1" si="101"/>
        <v>532675.83333333326</v>
      </c>
      <c r="Q256" s="242">
        <f t="shared" ca="1" si="101"/>
        <v>516327.5</v>
      </c>
      <c r="R256" s="242">
        <f t="shared" ca="1" si="101"/>
        <v>552394.16666666663</v>
      </c>
      <c r="S256" s="242">
        <f t="shared" ca="1" si="101"/>
        <v>590875.83333333326</v>
      </c>
      <c r="T256" s="242">
        <f t="shared" ca="1" si="101"/>
        <v>1353106.875</v>
      </c>
      <c r="U256" s="242">
        <f t="shared" ca="1" si="101"/>
        <v>1408981.0416666665</v>
      </c>
      <c r="V256" s="242">
        <f t="shared" ca="1" si="101"/>
        <v>1457186.875</v>
      </c>
      <c r="W256" s="242">
        <f t="shared" ca="1" si="101"/>
        <v>1474474.3750000002</v>
      </c>
      <c r="X256" s="242">
        <f t="shared" ca="1" si="101"/>
        <v>1527510.2083333333</v>
      </c>
      <c r="Y256" s="242">
        <f t="shared" ca="1" si="101"/>
        <v>1582961.0416666667</v>
      </c>
      <c r="Z256" s="242">
        <f t="shared" ca="1" si="101"/>
        <v>1500415.4166666667</v>
      </c>
      <c r="AA256" s="242">
        <f t="shared" ca="1" si="101"/>
        <v>1560696.2499999998</v>
      </c>
      <c r="AB256" s="242">
        <f t="shared" ca="1" si="101"/>
        <v>1623392.0833333333</v>
      </c>
      <c r="AC256" s="242">
        <f t="shared" ca="1" si="101"/>
        <v>1688502.9166666667</v>
      </c>
      <c r="AD256" s="242">
        <f t="shared" ca="1" si="101"/>
        <v>1756028.7499999998</v>
      </c>
      <c r="AE256" s="242">
        <f t="shared" ca="1" si="101"/>
        <v>1836052.9166666667</v>
      </c>
      <c r="AF256" s="242">
        <f t="shared" ca="1" si="101"/>
        <v>2857465</v>
      </c>
      <c r="AG256" s="242">
        <f t="shared" ca="1" si="101"/>
        <v>2935706.6666666665</v>
      </c>
      <c r="AH256" s="242">
        <f t="shared" ca="1" si="101"/>
        <v>3016363.3333333335</v>
      </c>
      <c r="AI256" s="242">
        <f t="shared" ca="1" si="101"/>
        <v>3066101.6666666665</v>
      </c>
      <c r="AJ256" s="242">
        <f t="shared" ca="1" si="101"/>
        <v>3176661.6666666665</v>
      </c>
      <c r="AK256" s="242">
        <f t="shared" ca="1" si="101"/>
        <v>3264563.333333333</v>
      </c>
      <c r="AL256" s="242">
        <f t="shared" ca="1" si="101"/>
        <v>3188213.3333333335</v>
      </c>
      <c r="AM256" s="242">
        <f t="shared" ca="1" si="101"/>
        <v>3280945.0000000005</v>
      </c>
      <c r="AN256" s="242">
        <f t="shared" ca="1" si="101"/>
        <v>3376091.666666667</v>
      </c>
      <c r="AO256" s="242">
        <f t="shared" ca="1" si="101"/>
        <v>3486560.0000000005</v>
      </c>
      <c r="AP256" s="242">
        <f t="shared" ca="1" si="101"/>
        <v>3586536.6666666665</v>
      </c>
      <c r="AQ256" s="242">
        <f t="shared" ca="1" si="101"/>
        <v>3688928.3333333335</v>
      </c>
      <c r="AR256" s="242">
        <f t="shared" ca="1" si="101"/>
        <v>4903363.75</v>
      </c>
      <c r="AS256" s="242">
        <f t="shared" ca="1" si="101"/>
        <v>5017527.083333333</v>
      </c>
      <c r="AT256" s="242">
        <f t="shared" ca="1" si="101"/>
        <v>5170148.333333333</v>
      </c>
      <c r="AU256" s="242">
        <f t="shared" ca="1" si="101"/>
        <v>5255808.333333333</v>
      </c>
      <c r="AV256" s="242">
        <f t="shared" ca="1" si="101"/>
        <v>5377216.666666667</v>
      </c>
      <c r="AW256" s="242">
        <f t="shared" ca="1" si="101"/>
        <v>5501040</v>
      </c>
      <c r="AX256" s="242">
        <f t="shared" ca="1" si="101"/>
        <v>5460611.666666666</v>
      </c>
      <c r="AY256" s="242">
        <f t="shared" ca="1" si="101"/>
        <v>5607818.333333333</v>
      </c>
      <c r="AZ256" s="242">
        <f t="shared" ca="1" si="101"/>
        <v>5738886.666666667</v>
      </c>
      <c r="BA256" s="242">
        <f t="shared" ca="1" si="101"/>
        <v>5872370</v>
      </c>
      <c r="BB256" s="242">
        <f t="shared" ca="1" si="101"/>
        <v>6008268.333333333</v>
      </c>
      <c r="BC256" s="242">
        <f t="shared" ca="1" si="101"/>
        <v>6146581.666666667</v>
      </c>
      <c r="BD256" s="242">
        <f t="shared" ca="1" si="101"/>
        <v>7632634.166666667</v>
      </c>
      <c r="BE256" s="242">
        <f t="shared" ca="1" si="101"/>
        <v>7782719.166666667</v>
      </c>
      <c r="BF256" s="242">
        <f t="shared" ca="1" si="101"/>
        <v>7935219.166666667</v>
      </c>
      <c r="BG256" s="242">
        <f t="shared" ca="1" si="101"/>
        <v>8056800.833333334</v>
      </c>
      <c r="BH256" s="242">
        <f t="shared" ca="1" si="101"/>
        <v>8214130.833333334</v>
      </c>
      <c r="BI256" s="242">
        <f t="shared" ca="1" si="101"/>
        <v>8398075.833333334</v>
      </c>
      <c r="BJ256" s="242">
        <f t="shared" ca="1" si="101"/>
        <v>8393569.1666666679</v>
      </c>
      <c r="BK256" s="242">
        <f t="shared" ca="1" si="101"/>
        <v>8558144.166666666</v>
      </c>
      <c r="BL256" s="242">
        <f t="shared" ca="1" si="101"/>
        <v>8725134.1666666679</v>
      </c>
      <c r="BM256" s="242">
        <f t="shared" ca="1" si="101"/>
        <v>8894539.166666666</v>
      </c>
      <c r="BN256" s="242">
        <f t="shared" ca="1" si="101"/>
        <v>9113371.6666666679</v>
      </c>
      <c r="BO256" s="242">
        <f t="shared" ca="1" si="101"/>
        <v>9287606.666666666</v>
      </c>
    </row>
    <row r="257" spans="1:67" s="25" customFormat="1" x14ac:dyDescent="0.25">
      <c r="A257" s="25" t="s">
        <v>277</v>
      </c>
      <c r="B257" s="239">
        <f t="shared" ref="B257" ca="1" si="102">MAX(D257:AQ257)</f>
        <v>63329583.75</v>
      </c>
      <c r="C257" s="244"/>
      <c r="D257" s="212">
        <f>D256</f>
        <v>11610</v>
      </c>
      <c r="E257" s="212">
        <f>E256+D257</f>
        <v>24830</v>
      </c>
      <c r="F257" s="212">
        <f t="shared" ref="F257:BO257" si="103">F256+E257</f>
        <v>39660</v>
      </c>
      <c r="G257" s="212">
        <f t="shared" si="103"/>
        <v>56100</v>
      </c>
      <c r="H257" s="25">
        <f t="shared" ca="1" si="103"/>
        <v>463683.33333333337</v>
      </c>
      <c r="I257" s="25">
        <f t="shared" ca="1" si="103"/>
        <v>888013.33333333337</v>
      </c>
      <c r="J257" s="25">
        <f t="shared" ca="1" si="103"/>
        <v>1329090</v>
      </c>
      <c r="K257" s="25">
        <f t="shared" ca="1" si="103"/>
        <v>1697395</v>
      </c>
      <c r="L257" s="25">
        <f t="shared" ca="1" si="103"/>
        <v>2087276.6666666667</v>
      </c>
      <c r="M257" s="25">
        <f t="shared" ca="1" si="103"/>
        <v>2501150</v>
      </c>
      <c r="N257" s="25">
        <f t="shared" ca="1" si="103"/>
        <v>2958096.6666666665</v>
      </c>
      <c r="O257" s="25">
        <f t="shared" ca="1" si="103"/>
        <v>3443865</v>
      </c>
      <c r="P257" s="25">
        <f t="shared" ca="1" si="103"/>
        <v>3976540.833333333</v>
      </c>
      <c r="Q257" s="25">
        <f t="shared" ca="1" si="103"/>
        <v>4492868.333333333</v>
      </c>
      <c r="R257" s="25">
        <f t="shared" ca="1" si="103"/>
        <v>5045262.5</v>
      </c>
      <c r="S257" s="25">
        <f t="shared" ca="1" si="103"/>
        <v>5636138.333333333</v>
      </c>
      <c r="T257" s="25">
        <f t="shared" ca="1" si="103"/>
        <v>6989245.208333333</v>
      </c>
      <c r="U257" s="25">
        <f t="shared" ca="1" si="103"/>
        <v>8398226.25</v>
      </c>
      <c r="V257" s="25">
        <f t="shared" ca="1" si="103"/>
        <v>9855413.125</v>
      </c>
      <c r="W257" s="25">
        <f t="shared" ca="1" si="103"/>
        <v>11329887.5</v>
      </c>
      <c r="X257" s="25">
        <f t="shared" ca="1" si="103"/>
        <v>12857397.708333334</v>
      </c>
      <c r="Y257" s="25">
        <f t="shared" ca="1" si="103"/>
        <v>14440358.75</v>
      </c>
      <c r="Z257" s="25">
        <f t="shared" ca="1" si="103"/>
        <v>15940774.166666666</v>
      </c>
      <c r="AA257" s="25">
        <f t="shared" ca="1" si="103"/>
        <v>17501470.416666664</v>
      </c>
      <c r="AB257" s="25">
        <f t="shared" ca="1" si="103"/>
        <v>19124862.499999996</v>
      </c>
      <c r="AC257" s="25">
        <f t="shared" ca="1" si="103"/>
        <v>20813365.416666664</v>
      </c>
      <c r="AD257" s="25">
        <f t="shared" ca="1" si="103"/>
        <v>22569394.166666664</v>
      </c>
      <c r="AE257" s="25">
        <f t="shared" ca="1" si="103"/>
        <v>24405447.083333332</v>
      </c>
      <c r="AF257" s="25">
        <f t="shared" ca="1" si="103"/>
        <v>27262912.083333332</v>
      </c>
      <c r="AG257" s="25">
        <f t="shared" ca="1" si="103"/>
        <v>30198618.75</v>
      </c>
      <c r="AH257" s="25">
        <f t="shared" ca="1" si="103"/>
        <v>33214982.083333332</v>
      </c>
      <c r="AI257" s="25">
        <f t="shared" ca="1" si="103"/>
        <v>36281083.75</v>
      </c>
      <c r="AJ257" s="25">
        <f t="shared" ca="1" si="103"/>
        <v>39457745.416666664</v>
      </c>
      <c r="AK257" s="25">
        <f t="shared" ca="1" si="103"/>
        <v>42722308.75</v>
      </c>
      <c r="AL257" s="25">
        <f t="shared" ca="1" si="103"/>
        <v>45910522.083333336</v>
      </c>
      <c r="AM257" s="25">
        <f t="shared" ca="1" si="103"/>
        <v>49191467.083333336</v>
      </c>
      <c r="AN257" s="25">
        <f t="shared" ca="1" si="103"/>
        <v>52567558.75</v>
      </c>
      <c r="AO257" s="25">
        <f t="shared" ca="1" si="103"/>
        <v>56054118.75</v>
      </c>
      <c r="AP257" s="25">
        <f t="shared" ca="1" si="103"/>
        <v>59640655.416666664</v>
      </c>
      <c r="AQ257" s="25">
        <f t="shared" ca="1" si="103"/>
        <v>63329583.75</v>
      </c>
      <c r="AR257" s="25">
        <f t="shared" ca="1" si="103"/>
        <v>68232947.5</v>
      </c>
      <c r="AS257" s="25">
        <f t="shared" ca="1" si="103"/>
        <v>73250474.583333328</v>
      </c>
      <c r="AT257" s="25">
        <f t="shared" ca="1" si="103"/>
        <v>78420622.916666657</v>
      </c>
      <c r="AU257" s="25">
        <f t="shared" ca="1" si="103"/>
        <v>83676431.249999985</v>
      </c>
      <c r="AV257" s="25">
        <f t="shared" ca="1" si="103"/>
        <v>89053647.916666657</v>
      </c>
      <c r="AW257" s="25">
        <f t="shared" ca="1" si="103"/>
        <v>94554687.916666657</v>
      </c>
      <c r="AX257" s="25">
        <f t="shared" ca="1" si="103"/>
        <v>100015299.58333333</v>
      </c>
      <c r="AY257" s="25">
        <f t="shared" ca="1" si="103"/>
        <v>105623117.91666666</v>
      </c>
      <c r="AZ257" s="25">
        <f t="shared" ca="1" si="103"/>
        <v>111362004.58333333</v>
      </c>
      <c r="BA257" s="25">
        <f t="shared" ca="1" si="103"/>
        <v>117234374.58333333</v>
      </c>
      <c r="BB257" s="25">
        <f t="shared" ca="1" si="103"/>
        <v>123242642.91666666</v>
      </c>
      <c r="BC257" s="25">
        <f t="shared" ca="1" si="103"/>
        <v>129389224.58333333</v>
      </c>
      <c r="BD257" s="25">
        <f t="shared" ca="1" si="103"/>
        <v>137021858.75</v>
      </c>
      <c r="BE257" s="25">
        <f t="shared" ca="1" si="103"/>
        <v>144804577.91666666</v>
      </c>
      <c r="BF257" s="25">
        <f t="shared" ca="1" si="103"/>
        <v>152739797.08333331</v>
      </c>
      <c r="BG257" s="25">
        <f t="shared" ca="1" si="103"/>
        <v>160796597.91666666</v>
      </c>
      <c r="BH257" s="25">
        <f t="shared" ca="1" si="103"/>
        <v>169010728.75</v>
      </c>
      <c r="BI257" s="25">
        <f t="shared" ca="1" si="103"/>
        <v>177408804.58333334</v>
      </c>
      <c r="BJ257" s="25">
        <f t="shared" ca="1" si="103"/>
        <v>185802373.75</v>
      </c>
      <c r="BK257" s="25">
        <f t="shared" ca="1" si="103"/>
        <v>194360517.91666666</v>
      </c>
      <c r="BL257" s="25">
        <f t="shared" ca="1" si="103"/>
        <v>203085652.08333331</v>
      </c>
      <c r="BM257" s="25">
        <f t="shared" ca="1" si="103"/>
        <v>211980191.24999997</v>
      </c>
      <c r="BN257" s="25">
        <f t="shared" ca="1" si="103"/>
        <v>221093562.91666663</v>
      </c>
      <c r="BO257" s="25">
        <f t="shared" ca="1" si="103"/>
        <v>230381169.58333328</v>
      </c>
    </row>
    <row r="258" spans="1:67" s="3" customFormat="1" x14ac:dyDescent="0.25">
      <c r="A258" s="176"/>
      <c r="B258" s="245"/>
      <c r="C258" s="244"/>
      <c r="D258" s="244"/>
      <c r="E258" s="244"/>
      <c r="F258" s="244"/>
      <c r="G258" s="244"/>
    </row>
    <row r="259" spans="1:67" s="243" customFormat="1" x14ac:dyDescent="0.25">
      <c r="A259" s="159" t="s">
        <v>145</v>
      </c>
      <c r="B259" s="239">
        <f ca="1">SUM(D259:AQ259)</f>
        <v>68448916.24999997</v>
      </c>
      <c r="C259" s="240"/>
      <c r="D259" s="241">
        <f>D253-D256</f>
        <v>20589.999999999993</v>
      </c>
      <c r="E259" s="241">
        <f t="shared" ref="E259:BO259" si="104">E253-E256</f>
        <v>51179.999999999985</v>
      </c>
      <c r="F259" s="241">
        <f t="shared" si="104"/>
        <v>81769.999999999971</v>
      </c>
      <c r="G259" s="241">
        <f t="shared" si="104"/>
        <v>112359.99999999997</v>
      </c>
      <c r="H259" s="241">
        <f t="shared" ca="1" si="104"/>
        <v>-246583.3333333334</v>
      </c>
      <c r="I259" s="241">
        <f t="shared" ca="1" si="104"/>
        <v>-231130.00000000006</v>
      </c>
      <c r="J259" s="241">
        <f t="shared" ca="1" si="104"/>
        <v>-215676.66666666674</v>
      </c>
      <c r="K259" s="241">
        <f t="shared" ca="1" si="104"/>
        <v>-94605.000000000058</v>
      </c>
      <c r="L259" s="241">
        <f t="shared" ca="1" si="104"/>
        <v>-51781.666666666802</v>
      </c>
      <c r="M259" s="241">
        <f t="shared" ca="1" si="104"/>
        <v>4726.6666666664532</v>
      </c>
      <c r="N259" s="241">
        <f t="shared" ca="1" si="104"/>
        <v>58253.333333333139</v>
      </c>
      <c r="O259" s="241">
        <f t="shared" ca="1" si="104"/>
        <v>142131.66666666657</v>
      </c>
      <c r="P259" s="241">
        <f t="shared" ca="1" si="104"/>
        <v>224024.16666666651</v>
      </c>
      <c r="Q259" s="241">
        <f t="shared" ca="1" si="104"/>
        <v>385272.49999999977</v>
      </c>
      <c r="R259" s="241">
        <f t="shared" ca="1" si="104"/>
        <v>510205.83333333314</v>
      </c>
      <c r="S259" s="241">
        <f t="shared" ca="1" si="104"/>
        <v>648824.16666666651</v>
      </c>
      <c r="T259" s="241">
        <f t="shared" ca="1" si="104"/>
        <v>79793.124999999767</v>
      </c>
      <c r="U259" s="241">
        <f t="shared" ca="1" si="104"/>
        <v>233218.95833333302</v>
      </c>
      <c r="V259" s="241">
        <f t="shared" ca="1" si="104"/>
        <v>410413.12499999953</v>
      </c>
      <c r="W259" s="241">
        <f t="shared" ca="1" si="104"/>
        <v>634625.6249999993</v>
      </c>
      <c r="X259" s="241">
        <f t="shared" ca="1" si="104"/>
        <v>839189.79166666628</v>
      </c>
      <c r="Y259" s="241">
        <f t="shared" ca="1" si="104"/>
        <v>1057438.9583333328</v>
      </c>
      <c r="Z259" s="241">
        <f t="shared" ca="1" si="104"/>
        <v>1429784.5833333328</v>
      </c>
      <c r="AA259" s="241">
        <f t="shared" ca="1" si="104"/>
        <v>1675403.7499999993</v>
      </c>
      <c r="AB259" s="241">
        <f t="shared" ca="1" si="104"/>
        <v>1934707.9166666658</v>
      </c>
      <c r="AC259" s="241">
        <f t="shared" ca="1" si="104"/>
        <v>2207697.0833333321</v>
      </c>
      <c r="AD259" s="241">
        <f t="shared" ca="1" si="104"/>
        <v>2494371.2499999991</v>
      </c>
      <c r="AE259" s="241">
        <f t="shared" ca="1" si="104"/>
        <v>2784647.0833333321</v>
      </c>
      <c r="AF259" s="241">
        <f t="shared" ca="1" si="104"/>
        <v>2149634.9999999991</v>
      </c>
      <c r="AG259" s="241">
        <f t="shared" ca="1" si="104"/>
        <v>2473893.3333333326</v>
      </c>
      <c r="AH259" s="241">
        <f t="shared" ca="1" si="104"/>
        <v>2811836.6666666656</v>
      </c>
      <c r="AI259" s="241">
        <f t="shared" ca="1" si="104"/>
        <v>3196798.3333333316</v>
      </c>
      <c r="AJ259" s="241">
        <f t="shared" ca="1" si="104"/>
        <v>3537038.3333333316</v>
      </c>
      <c r="AK259" s="241">
        <f t="shared" ca="1" si="104"/>
        <v>3916036.6666666651</v>
      </c>
      <c r="AL259" s="241">
        <f t="shared" ca="1" si="104"/>
        <v>4475386.6666666642</v>
      </c>
      <c r="AM259" s="241">
        <f t="shared" ca="1" si="104"/>
        <v>4881754.9999999981</v>
      </c>
      <c r="AN259" s="241">
        <f t="shared" ca="1" si="104"/>
        <v>5301808.3333333312</v>
      </c>
      <c r="AO259" s="241">
        <f t="shared" ca="1" si="104"/>
        <v>5722639.9999999981</v>
      </c>
      <c r="AP259" s="241">
        <f t="shared" ca="1" si="104"/>
        <v>6170063.3333333321</v>
      </c>
      <c r="AQ259" s="241">
        <f t="shared" ca="1" si="104"/>
        <v>6631171.6666666642</v>
      </c>
      <c r="AR259" s="241">
        <f t="shared" ca="1" si="104"/>
        <v>5996336.2499999981</v>
      </c>
      <c r="AS259" s="241">
        <f t="shared" ca="1" si="104"/>
        <v>6477872.9166666651</v>
      </c>
      <c r="AT259" s="241">
        <f t="shared" ca="1" si="104"/>
        <v>6937051.6666666633</v>
      </c>
      <c r="AU259" s="241">
        <f t="shared" ca="1" si="104"/>
        <v>7479291.6666666633</v>
      </c>
      <c r="AV259" s="241">
        <f t="shared" ca="1" si="104"/>
        <v>8001883.3333333293</v>
      </c>
      <c r="AW259" s="241">
        <f t="shared" ca="1" si="104"/>
        <v>8538159.9999999963</v>
      </c>
      <c r="AX259" s="241">
        <f t="shared" ca="1" si="104"/>
        <v>9254788.3333333302</v>
      </c>
      <c r="AY259" s="241">
        <f t="shared" ca="1" si="104"/>
        <v>9799881.6666666642</v>
      </c>
      <c r="AZ259" s="241">
        <f t="shared" ca="1" si="104"/>
        <v>10377213.333333328</v>
      </c>
      <c r="BA259" s="241">
        <f t="shared" ca="1" si="104"/>
        <v>10968229.999999996</v>
      </c>
      <c r="BB259" s="241">
        <f t="shared" ca="1" si="104"/>
        <v>11572931.666666664</v>
      </c>
      <c r="BC259" s="241">
        <f t="shared" ca="1" si="104"/>
        <v>12191318.333333328</v>
      </c>
      <c r="BD259" s="241">
        <f t="shared" ca="1" si="104"/>
        <v>11478065.833333328</v>
      </c>
      <c r="BE259" s="241">
        <f t="shared" ca="1" si="104"/>
        <v>12116880.833333328</v>
      </c>
      <c r="BF259" s="241">
        <f t="shared" ca="1" si="104"/>
        <v>12769380.833333328</v>
      </c>
      <c r="BG259" s="241">
        <f t="shared" ca="1" si="104"/>
        <v>13468899.166666662</v>
      </c>
      <c r="BH259" s="241">
        <f t="shared" ca="1" si="104"/>
        <v>14148769.166666662</v>
      </c>
      <c r="BI259" s="241">
        <f t="shared" ca="1" si="104"/>
        <v>14818124.166666662</v>
      </c>
      <c r="BJ259" s="241">
        <f t="shared" ca="1" si="104"/>
        <v>15692030.833333325</v>
      </c>
      <c r="BK259" s="241">
        <f t="shared" ca="1" si="104"/>
        <v>16412955.833333327</v>
      </c>
      <c r="BL259" s="241">
        <f t="shared" ca="1" si="104"/>
        <v>17147565.833333325</v>
      </c>
      <c r="BM259" s="241">
        <f t="shared" ca="1" si="104"/>
        <v>17895860.833333328</v>
      </c>
      <c r="BN259" s="241">
        <f t="shared" ca="1" si="104"/>
        <v>18610828.333333325</v>
      </c>
      <c r="BO259" s="241">
        <f t="shared" ca="1" si="104"/>
        <v>19386493.333333328</v>
      </c>
    </row>
    <row r="260" spans="1:67" s="25" customFormat="1" x14ac:dyDescent="0.25">
      <c r="A260" s="25" t="s">
        <v>277</v>
      </c>
      <c r="B260" s="239">
        <f t="shared" ref="B260" ca="1" si="105">MAX(D260:AQ260)</f>
        <v>68448916.24999997</v>
      </c>
      <c r="C260" s="244"/>
      <c r="D260" s="212">
        <f>D259</f>
        <v>20589.999999999993</v>
      </c>
      <c r="E260" s="212">
        <f>E259+D260</f>
        <v>71769.999999999971</v>
      </c>
      <c r="F260" s="212">
        <f t="shared" ref="F260:BO260" si="106">F259+E260</f>
        <v>153539.99999999994</v>
      </c>
      <c r="G260" s="212">
        <f t="shared" si="106"/>
        <v>265899.99999999988</v>
      </c>
      <c r="H260" s="25">
        <f t="shared" ca="1" si="106"/>
        <v>19316.666666666482</v>
      </c>
      <c r="I260" s="25">
        <f t="shared" ca="1" si="106"/>
        <v>-211813.33333333358</v>
      </c>
      <c r="J260" s="25">
        <f t="shared" ca="1" si="106"/>
        <v>-427490.00000000035</v>
      </c>
      <c r="K260" s="25">
        <f t="shared" ca="1" si="106"/>
        <v>-522095.00000000041</v>
      </c>
      <c r="L260" s="25">
        <f t="shared" ca="1" si="106"/>
        <v>-573876.66666666721</v>
      </c>
      <c r="M260" s="25">
        <f t="shared" ca="1" si="106"/>
        <v>-569150.0000000007</v>
      </c>
      <c r="N260" s="25">
        <f t="shared" ca="1" si="106"/>
        <v>-510896.66666666756</v>
      </c>
      <c r="O260" s="25">
        <f t="shared" ca="1" si="106"/>
        <v>-368765.00000000099</v>
      </c>
      <c r="P260" s="25">
        <f t="shared" ca="1" si="106"/>
        <v>-144740.83333333448</v>
      </c>
      <c r="Q260" s="25">
        <f t="shared" ca="1" si="106"/>
        <v>240531.66666666529</v>
      </c>
      <c r="R260" s="25">
        <f t="shared" ca="1" si="106"/>
        <v>750737.49999999837</v>
      </c>
      <c r="S260" s="25">
        <f t="shared" ca="1" si="106"/>
        <v>1399561.6666666649</v>
      </c>
      <c r="T260" s="25">
        <f t="shared" ca="1" si="106"/>
        <v>1479354.7916666646</v>
      </c>
      <c r="U260" s="25">
        <f t="shared" ca="1" si="106"/>
        <v>1712573.7499999977</v>
      </c>
      <c r="V260" s="25">
        <f t="shared" ca="1" si="106"/>
        <v>2122986.8749999972</v>
      </c>
      <c r="W260" s="25">
        <f t="shared" ca="1" si="106"/>
        <v>2757612.4999999963</v>
      </c>
      <c r="X260" s="25">
        <f t="shared" ca="1" si="106"/>
        <v>3596802.2916666623</v>
      </c>
      <c r="Y260" s="25">
        <f t="shared" ca="1" si="106"/>
        <v>4654241.2499999953</v>
      </c>
      <c r="Z260" s="25">
        <f t="shared" ca="1" si="106"/>
        <v>6084025.8333333284</v>
      </c>
      <c r="AA260" s="25">
        <f t="shared" ca="1" si="106"/>
        <v>7759429.5833333274</v>
      </c>
      <c r="AB260" s="25">
        <f t="shared" ca="1" si="106"/>
        <v>9694137.4999999925</v>
      </c>
      <c r="AC260" s="25">
        <f t="shared" ca="1" si="106"/>
        <v>11901834.583333325</v>
      </c>
      <c r="AD260" s="25">
        <f t="shared" ca="1" si="106"/>
        <v>14396205.833333325</v>
      </c>
      <c r="AE260" s="25">
        <f t="shared" ca="1" si="106"/>
        <v>17180852.916666657</v>
      </c>
      <c r="AF260" s="25">
        <f t="shared" ca="1" si="106"/>
        <v>19330487.916666657</v>
      </c>
      <c r="AG260" s="25">
        <f t="shared" ca="1" si="106"/>
        <v>21804381.249999989</v>
      </c>
      <c r="AH260" s="25">
        <f t="shared" ca="1" si="106"/>
        <v>24616217.916666653</v>
      </c>
      <c r="AI260" s="25">
        <f t="shared" ca="1" si="106"/>
        <v>27813016.249999985</v>
      </c>
      <c r="AJ260" s="25">
        <f t="shared" ca="1" si="106"/>
        <v>31350054.583333317</v>
      </c>
      <c r="AK260" s="25">
        <f t="shared" ca="1" si="106"/>
        <v>35266091.249999985</v>
      </c>
      <c r="AL260" s="25">
        <f t="shared" ca="1" si="106"/>
        <v>39741477.916666649</v>
      </c>
      <c r="AM260" s="25">
        <f t="shared" ca="1" si="106"/>
        <v>44623232.916666649</v>
      </c>
      <c r="AN260" s="25">
        <f t="shared" ca="1" si="106"/>
        <v>49925041.249999978</v>
      </c>
      <c r="AO260" s="25">
        <f t="shared" ca="1" si="106"/>
        <v>55647681.249999978</v>
      </c>
      <c r="AP260" s="25">
        <f t="shared" ca="1" si="106"/>
        <v>61817744.583333313</v>
      </c>
      <c r="AQ260" s="25">
        <f t="shared" ca="1" si="106"/>
        <v>68448916.24999997</v>
      </c>
      <c r="AR260" s="25">
        <f t="shared" ca="1" si="106"/>
        <v>74445252.49999997</v>
      </c>
      <c r="AS260" s="25">
        <f t="shared" ca="1" si="106"/>
        <v>80923125.416666642</v>
      </c>
      <c r="AT260" s="25">
        <f t="shared" ca="1" si="106"/>
        <v>87860177.083333299</v>
      </c>
      <c r="AU260" s="25">
        <f t="shared" ca="1" si="106"/>
        <v>95339468.749999955</v>
      </c>
      <c r="AV260" s="25">
        <f t="shared" ca="1" si="106"/>
        <v>103341352.08333328</v>
      </c>
      <c r="AW260" s="25">
        <f t="shared" ca="1" si="106"/>
        <v>111879512.08333328</v>
      </c>
      <c r="AX260" s="25">
        <f t="shared" ca="1" si="106"/>
        <v>121134300.41666661</v>
      </c>
      <c r="AY260" s="25">
        <f t="shared" ca="1" si="106"/>
        <v>130934182.08333328</v>
      </c>
      <c r="AZ260" s="25">
        <f t="shared" ca="1" si="106"/>
        <v>141311395.41666663</v>
      </c>
      <c r="BA260" s="25">
        <f t="shared" ca="1" si="106"/>
        <v>152279625.41666663</v>
      </c>
      <c r="BB260" s="25">
        <f t="shared" ca="1" si="106"/>
        <v>163852557.08333328</v>
      </c>
      <c r="BC260" s="25">
        <f t="shared" ca="1" si="106"/>
        <v>176043875.41666663</v>
      </c>
      <c r="BD260" s="25">
        <f t="shared" ca="1" si="106"/>
        <v>187521941.24999994</v>
      </c>
      <c r="BE260" s="25">
        <f t="shared" ca="1" si="106"/>
        <v>199638822.08333325</v>
      </c>
      <c r="BF260" s="25">
        <f t="shared" ca="1" si="106"/>
        <v>212408202.91666657</v>
      </c>
      <c r="BG260" s="25">
        <f t="shared" ca="1" si="106"/>
        <v>225877102.08333322</v>
      </c>
      <c r="BH260" s="25">
        <f t="shared" ca="1" si="106"/>
        <v>240025871.24999988</v>
      </c>
      <c r="BI260" s="25">
        <f t="shared" ca="1" si="106"/>
        <v>254843995.41666654</v>
      </c>
      <c r="BJ260" s="25">
        <f t="shared" ca="1" si="106"/>
        <v>270536026.24999988</v>
      </c>
      <c r="BK260" s="25">
        <f t="shared" ca="1" si="106"/>
        <v>286948982.08333319</v>
      </c>
      <c r="BL260" s="25">
        <f t="shared" ca="1" si="106"/>
        <v>304096547.91666651</v>
      </c>
      <c r="BM260" s="25">
        <f t="shared" ca="1" si="106"/>
        <v>321992408.74999982</v>
      </c>
      <c r="BN260" s="25">
        <f t="shared" ca="1" si="106"/>
        <v>340603237.08333313</v>
      </c>
      <c r="BO260" s="25">
        <f t="shared" ca="1" si="106"/>
        <v>359989730.41666645</v>
      </c>
    </row>
    <row r="261" spans="1:67" s="249" customFormat="1" x14ac:dyDescent="0.25">
      <c r="A261" s="224" t="s">
        <v>142</v>
      </c>
      <c r="B261" s="246"/>
      <c r="C261" s="247"/>
      <c r="D261" s="248">
        <f>D260/D254</f>
        <v>0.6394409937888198</v>
      </c>
      <c r="E261" s="248">
        <f t="shared" ref="E261:BO261" si="107">E260/E254</f>
        <v>0.74296066252587989</v>
      </c>
      <c r="F261" s="248">
        <f t="shared" si="107"/>
        <v>0.79472049689440982</v>
      </c>
      <c r="G261" s="248">
        <f t="shared" si="107"/>
        <v>0.82577639751552789</v>
      </c>
      <c r="H261" s="248">
        <f t="shared" ca="1" si="107"/>
        <v>3.9993098688750492E-2</v>
      </c>
      <c r="I261" s="248">
        <f t="shared" ca="1" si="107"/>
        <v>-0.31324065858227396</v>
      </c>
      <c r="J261" s="248">
        <f t="shared" ca="1" si="107"/>
        <v>-0.47414596273291976</v>
      </c>
      <c r="K261" s="248">
        <f t="shared" ca="1" si="107"/>
        <v>-0.44422275163788011</v>
      </c>
      <c r="L261" s="248">
        <f t="shared" ca="1" si="107"/>
        <v>-0.37919695167613804</v>
      </c>
      <c r="M261" s="248">
        <f t="shared" ca="1" si="107"/>
        <v>-0.29459109730848904</v>
      </c>
      <c r="N261" s="248">
        <f t="shared" ca="1" si="107"/>
        <v>-0.20876784352184849</v>
      </c>
      <c r="O261" s="248">
        <f t="shared" ca="1" si="107"/>
        <v>-0.1199196774088651</v>
      </c>
      <c r="P261" s="248">
        <f t="shared" ca="1" si="107"/>
        <v>-3.7773587695948255E-2</v>
      </c>
      <c r="Q261" s="248">
        <f t="shared" ca="1" si="107"/>
        <v>5.0815833579808456E-2</v>
      </c>
      <c r="R261" s="248">
        <f t="shared" ca="1" si="107"/>
        <v>0.12952682884748076</v>
      </c>
      <c r="S261" s="248">
        <f t="shared" ca="1" si="107"/>
        <v>0.19892287429348396</v>
      </c>
      <c r="T261" s="248">
        <f t="shared" ca="1" si="107"/>
        <v>0.17468705472766041</v>
      </c>
      <c r="U261" s="248">
        <f t="shared" ca="1" si="107"/>
        <v>0.1693806375360998</v>
      </c>
      <c r="V261" s="248">
        <f t="shared" ca="1" si="107"/>
        <v>0.17723459518800486</v>
      </c>
      <c r="W261" s="248">
        <f t="shared" ca="1" si="107"/>
        <v>0.19574889086069186</v>
      </c>
      <c r="X261" s="248">
        <f t="shared" ca="1" si="107"/>
        <v>0.2185947838039323</v>
      </c>
      <c r="Y261" s="248">
        <f t="shared" ca="1" si="107"/>
        <v>0.24374646496915339</v>
      </c>
      <c r="Z261" s="248">
        <f t="shared" ca="1" si="107"/>
        <v>0.2762352363396412</v>
      </c>
      <c r="AA261" s="248">
        <f t="shared" ca="1" si="107"/>
        <v>0.30717154113009942</v>
      </c>
      <c r="AB261" s="248">
        <f t="shared" ca="1" si="107"/>
        <v>0.33638007911447287</v>
      </c>
      <c r="AC261" s="248">
        <f t="shared" ca="1" si="107"/>
        <v>0.36380137010726898</v>
      </c>
      <c r="AD261" s="248">
        <f t="shared" ca="1" si="107"/>
        <v>0.38944872620310039</v>
      </c>
      <c r="AE261" s="248">
        <f t="shared" ca="1" si="107"/>
        <v>0.4131373292807165</v>
      </c>
      <c r="AF261" s="248">
        <f t="shared" ca="1" si="107"/>
        <v>0.41487609654300095</v>
      </c>
      <c r="AG261" s="248">
        <f t="shared" ca="1" si="107"/>
        <v>0.41929083418264318</v>
      </c>
      <c r="AH261" s="248">
        <f t="shared" ca="1" si="107"/>
        <v>0.42565635706446792</v>
      </c>
      <c r="AI261" s="248">
        <f t="shared" ca="1" si="107"/>
        <v>0.43394035098394373</v>
      </c>
      <c r="AJ261" s="248">
        <f t="shared" ca="1" si="107"/>
        <v>0.44274860373198044</v>
      </c>
      <c r="AK261" s="248">
        <f t="shared" ca="1" si="107"/>
        <v>0.45219662475445055</v>
      </c>
      <c r="AL261" s="248">
        <f t="shared" ca="1" si="107"/>
        <v>0.46398774011893074</v>
      </c>
      <c r="AM261" s="248">
        <f t="shared" ca="1" si="107"/>
        <v>0.47565288719855903</v>
      </c>
      <c r="AN261" s="248">
        <f t="shared" ca="1" si="107"/>
        <v>0.48710874004562266</v>
      </c>
      <c r="AO261" s="248">
        <f t="shared" ca="1" si="107"/>
        <v>0.49818070299672867</v>
      </c>
      <c r="AP261" s="248">
        <f t="shared" ca="1" si="107"/>
        <v>0.50896228324540194</v>
      </c>
      <c r="AQ261" s="248">
        <f t="shared" ca="1" si="107"/>
        <v>0.51942400505393505</v>
      </c>
      <c r="AR261" s="248">
        <f t="shared" ca="1" si="107"/>
        <v>0.52177033702415632</v>
      </c>
      <c r="AS261" s="248">
        <f t="shared" ca="1" si="107"/>
        <v>0.52488315390356488</v>
      </c>
      <c r="AT261" s="248">
        <f t="shared" ca="1" si="107"/>
        <v>0.52838437801197324</v>
      </c>
      <c r="AU261" s="248">
        <f t="shared" ca="1" si="107"/>
        <v>0.53257542346797115</v>
      </c>
      <c r="AV261" s="248">
        <f t="shared" ca="1" si="107"/>
        <v>0.53713117328066373</v>
      </c>
      <c r="AW261" s="248">
        <f t="shared" ca="1" si="107"/>
        <v>0.54196209776932935</v>
      </c>
      <c r="AX261" s="248">
        <f t="shared" ca="1" si="107"/>
        <v>0.54774822299776549</v>
      </c>
      <c r="AY261" s="248">
        <f t="shared" ca="1" si="107"/>
        <v>0.55349880169977128</v>
      </c>
      <c r="AZ261" s="248">
        <f t="shared" ca="1" si="107"/>
        <v>0.55926502519325993</v>
      </c>
      <c r="BA261" s="248">
        <f t="shared" ca="1" si="107"/>
        <v>0.565015640807775</v>
      </c>
      <c r="BB261" s="248">
        <f t="shared" ca="1" si="107"/>
        <v>0.57072551921221015</v>
      </c>
      <c r="BC261" s="248">
        <f t="shared" ca="1" si="107"/>
        <v>0.57637458224621585</v>
      </c>
      <c r="BD261" s="248">
        <f t="shared" ca="1" si="107"/>
        <v>0.57780164418485258</v>
      </c>
      <c r="BE261" s="248">
        <f t="shared" ca="1" si="107"/>
        <v>0.57959833773366909</v>
      </c>
      <c r="BF261" s="248">
        <f t="shared" ca="1" si="107"/>
        <v>0.58170441277691953</v>
      </c>
      <c r="BG261" s="248">
        <f t="shared" ca="1" si="107"/>
        <v>0.5841542936158659</v>
      </c>
      <c r="BH261" s="248">
        <f t="shared" ca="1" si="107"/>
        <v>0.58680780949675393</v>
      </c>
      <c r="BI261" s="248">
        <f t="shared" ca="1" si="107"/>
        <v>0.58957164746339774</v>
      </c>
      <c r="BJ261" s="248">
        <f t="shared" ca="1" si="107"/>
        <v>0.59284080903557512</v>
      </c>
      <c r="BK261" s="248">
        <f t="shared" ca="1" si="107"/>
        <v>0.59618391509690383</v>
      </c>
      <c r="BL261" s="248">
        <f t="shared" ca="1" si="107"/>
        <v>0.59958048195829139</v>
      </c>
      <c r="BM261" s="248">
        <f t="shared" ca="1" si="107"/>
        <v>0.60301297997312941</v>
      </c>
      <c r="BN261" s="248">
        <f t="shared" ca="1" si="107"/>
        <v>0.6063827265587648</v>
      </c>
      <c r="BO261" s="248">
        <f t="shared" ca="1" si="107"/>
        <v>0.60976875793957075</v>
      </c>
    </row>
  </sheetData>
  <mergeCells count="3">
    <mergeCell ref="C1:G1"/>
    <mergeCell ref="H1:BO1"/>
    <mergeCell ref="A52:B52"/>
  </mergeCells>
  <conditionalFormatting sqref="D52:AQ52">
    <cfRule type="containsText" dxfId="5" priority="5" operator="containsText" text="True">
      <formula>NOT(ISERROR(SEARCH("True",D52)))</formula>
    </cfRule>
    <cfRule type="containsText" dxfId="4" priority="6" operator="containsText" text="False">
      <formula>NOT(ISERROR(SEARCH("False",D52)))</formula>
    </cfRule>
  </conditionalFormatting>
  <conditionalFormatting sqref="AR52:BC52">
    <cfRule type="containsText" dxfId="3" priority="3" operator="containsText" text="True">
      <formula>NOT(ISERROR(SEARCH("True",AR52)))</formula>
    </cfRule>
    <cfRule type="containsText" dxfId="2" priority="4" operator="containsText" text="False">
      <formula>NOT(ISERROR(SEARCH("False",AR52)))</formula>
    </cfRule>
  </conditionalFormatting>
  <conditionalFormatting sqref="BD52:BO52">
    <cfRule type="containsText" dxfId="1" priority="1" operator="containsText" text="True">
      <formula>NOT(ISERROR(SEARCH("True",BD52)))</formula>
    </cfRule>
    <cfRule type="containsText" dxfId="0" priority="2" operator="containsText" text="False">
      <formula>NOT(ISERROR(SEARCH("False",BD52)))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I185"/>
  <sheetViews>
    <sheetView workbookViewId="0">
      <selection sqref="A1:XFD1048576"/>
    </sheetView>
  </sheetViews>
  <sheetFormatPr defaultColWidth="8.7109375" defaultRowHeight="15" x14ac:dyDescent="0.25"/>
  <cols>
    <col min="1" max="1" width="34.28515625" customWidth="1"/>
    <col min="2" max="2" width="14.42578125" bestFit="1" customWidth="1"/>
    <col min="3" max="6" width="11.7109375" customWidth="1"/>
    <col min="7" max="37" width="13.7109375" customWidth="1"/>
    <col min="38" max="41" width="14.42578125" customWidth="1"/>
    <col min="42" max="42" width="12.28515625" bestFit="1" customWidth="1"/>
    <col min="43" max="61" width="11.28515625" customWidth="1"/>
  </cols>
  <sheetData>
    <row r="1" spans="1:2" ht="23.25" x14ac:dyDescent="0.35">
      <c r="A1" s="292" t="s">
        <v>309</v>
      </c>
    </row>
    <row r="2" spans="1:2" ht="13.9" customHeight="1" x14ac:dyDescent="0.35">
      <c r="A2" s="292"/>
    </row>
    <row r="3" spans="1:2" x14ac:dyDescent="0.25">
      <c r="A3" s="293" t="s">
        <v>310</v>
      </c>
      <c r="B3" s="294" t="s">
        <v>311</v>
      </c>
    </row>
    <row r="4" spans="1:2" ht="15" customHeight="1" x14ac:dyDescent="0.35">
      <c r="A4" s="292"/>
    </row>
    <row r="6" spans="1:2" ht="18" thickBot="1" x14ac:dyDescent="0.35">
      <c r="A6" s="295" t="s">
        <v>312</v>
      </c>
    </row>
    <row r="7" spans="1:2" ht="15.75" thickTop="1" x14ac:dyDescent="0.25">
      <c r="A7" t="s">
        <v>313</v>
      </c>
      <c r="B7" s="296">
        <v>600</v>
      </c>
    </row>
    <row r="8" spans="1:2" x14ac:dyDescent="0.25">
      <c r="A8" t="s">
        <v>314</v>
      </c>
      <c r="B8" s="297">
        <v>0.8</v>
      </c>
    </row>
    <row r="9" spans="1:2" x14ac:dyDescent="0.25">
      <c r="A9" t="s">
        <v>315</v>
      </c>
      <c r="B9" s="296">
        <v>6000</v>
      </c>
    </row>
    <row r="10" spans="1:2" x14ac:dyDescent="0.25">
      <c r="A10" t="s">
        <v>316</v>
      </c>
      <c r="B10" s="298">
        <v>2.5000000000000001E-2</v>
      </c>
    </row>
    <row r="11" spans="1:2" x14ac:dyDescent="0.25">
      <c r="B11" s="299"/>
    </row>
    <row r="12" spans="1:2" x14ac:dyDescent="0.25">
      <c r="A12" t="s">
        <v>317</v>
      </c>
      <c r="B12" s="300">
        <v>10</v>
      </c>
    </row>
    <row r="13" spans="1:2" x14ac:dyDescent="0.25">
      <c r="A13" t="s">
        <v>318</v>
      </c>
      <c r="B13" s="300">
        <v>2</v>
      </c>
    </row>
    <row r="16" spans="1:2" ht="18" thickBot="1" x14ac:dyDescent="0.35">
      <c r="A16" s="295" t="s">
        <v>319</v>
      </c>
    </row>
    <row r="17" spans="1:61" ht="15.75" thickTop="1" x14ac:dyDescent="0.25">
      <c r="A17" t="s">
        <v>320</v>
      </c>
      <c r="B17" s="33">
        <f>1/B10</f>
        <v>40</v>
      </c>
      <c r="C17" t="s">
        <v>321</v>
      </c>
    </row>
    <row r="18" spans="1:61" x14ac:dyDescent="0.25">
      <c r="A18" t="s">
        <v>322</v>
      </c>
      <c r="B18" s="301">
        <f>B7*B8/B10</f>
        <v>19200</v>
      </c>
    </row>
    <row r="19" spans="1:61" x14ac:dyDescent="0.25">
      <c r="A19" t="s">
        <v>323</v>
      </c>
      <c r="B19" s="302">
        <f>B18/B9</f>
        <v>3.2</v>
      </c>
    </row>
    <row r="20" spans="1:61" x14ac:dyDescent="0.25">
      <c r="A20" t="s">
        <v>324</v>
      </c>
      <c r="B20" s="303">
        <f>B9/(B7*B8)</f>
        <v>12.5</v>
      </c>
      <c r="C20" t="s">
        <v>321</v>
      </c>
    </row>
    <row r="21" spans="1:61" x14ac:dyDescent="0.25">
      <c r="A21" t="s">
        <v>325</v>
      </c>
      <c r="B21" s="301">
        <f>MIN(B42:AO42)</f>
        <v>-1652640</v>
      </c>
    </row>
    <row r="23" spans="1:61" ht="20.25" thickBot="1" x14ac:dyDescent="0.35">
      <c r="A23" s="304" t="s">
        <v>326</v>
      </c>
    </row>
    <row r="24" spans="1:61" ht="15.75" thickTop="1" x14ac:dyDescent="0.25"/>
    <row r="25" spans="1:61" x14ac:dyDescent="0.25">
      <c r="B25" s="305" t="s">
        <v>327</v>
      </c>
      <c r="C25" s="305" t="s">
        <v>328</v>
      </c>
      <c r="D25" s="305" t="s">
        <v>329</v>
      </c>
      <c r="E25" s="305" t="s">
        <v>330</v>
      </c>
      <c r="F25" s="305" t="s">
        <v>331</v>
      </c>
      <c r="G25" s="305" t="s">
        <v>332</v>
      </c>
      <c r="H25" s="305" t="s">
        <v>333</v>
      </c>
      <c r="I25" s="305" t="s">
        <v>334</v>
      </c>
      <c r="J25" s="305" t="s">
        <v>335</v>
      </c>
      <c r="K25" s="305" t="s">
        <v>336</v>
      </c>
      <c r="L25" s="305" t="s">
        <v>337</v>
      </c>
      <c r="M25" s="305" t="s">
        <v>338</v>
      </c>
      <c r="N25" s="305" t="s">
        <v>339</v>
      </c>
      <c r="O25" s="305" t="s">
        <v>340</v>
      </c>
      <c r="P25" s="305" t="s">
        <v>341</v>
      </c>
      <c r="Q25" s="305" t="s">
        <v>342</v>
      </c>
      <c r="R25" s="305" t="s">
        <v>343</v>
      </c>
      <c r="S25" s="305" t="s">
        <v>344</v>
      </c>
      <c r="T25" s="305" t="s">
        <v>345</v>
      </c>
      <c r="U25" s="305" t="s">
        <v>346</v>
      </c>
      <c r="V25" s="305" t="s">
        <v>347</v>
      </c>
      <c r="W25" s="305" t="s">
        <v>348</v>
      </c>
      <c r="X25" s="305" t="s">
        <v>349</v>
      </c>
      <c r="Y25" s="305" t="s">
        <v>350</v>
      </c>
      <c r="Z25" s="305" t="s">
        <v>351</v>
      </c>
      <c r="AA25" s="305" t="s">
        <v>352</v>
      </c>
      <c r="AB25" s="305" t="s">
        <v>353</v>
      </c>
      <c r="AC25" s="305" t="s">
        <v>354</v>
      </c>
      <c r="AD25" s="305" t="s">
        <v>355</v>
      </c>
      <c r="AE25" s="305" t="s">
        <v>356</v>
      </c>
      <c r="AF25" s="305" t="s">
        <v>357</v>
      </c>
      <c r="AG25" s="305" t="s">
        <v>358</v>
      </c>
      <c r="AH25" s="305" t="s">
        <v>359</v>
      </c>
      <c r="AI25" s="305" t="s">
        <v>360</v>
      </c>
      <c r="AJ25" s="305" t="s">
        <v>361</v>
      </c>
      <c r="AK25" s="305" t="s">
        <v>362</v>
      </c>
      <c r="AL25" s="305" t="s">
        <v>363</v>
      </c>
      <c r="AM25" s="305" t="s">
        <v>364</v>
      </c>
      <c r="AN25" s="305" t="s">
        <v>365</v>
      </c>
      <c r="AO25" s="305" t="s">
        <v>366</v>
      </c>
      <c r="AP25" s="305" t="s">
        <v>367</v>
      </c>
      <c r="AQ25" s="305" t="s">
        <v>368</v>
      </c>
      <c r="AR25" s="305" t="s">
        <v>369</v>
      </c>
      <c r="AS25" s="305" t="s">
        <v>370</v>
      </c>
      <c r="AT25" s="305" t="s">
        <v>371</v>
      </c>
      <c r="AU25" s="305" t="s">
        <v>372</v>
      </c>
      <c r="AV25" s="305" t="s">
        <v>373</v>
      </c>
      <c r="AW25" s="305" t="s">
        <v>374</v>
      </c>
      <c r="AX25" s="305" t="s">
        <v>375</v>
      </c>
      <c r="AY25" s="305" t="s">
        <v>376</v>
      </c>
      <c r="AZ25" s="305" t="s">
        <v>377</v>
      </c>
      <c r="BA25" s="305" t="s">
        <v>378</v>
      </c>
      <c r="BB25" s="305" t="s">
        <v>379</v>
      </c>
      <c r="BC25" s="305" t="s">
        <v>380</v>
      </c>
      <c r="BD25" s="305" t="s">
        <v>381</v>
      </c>
      <c r="BE25" s="305" t="s">
        <v>382</v>
      </c>
      <c r="BF25" s="305" t="s">
        <v>383</v>
      </c>
      <c r="BG25" s="305" t="s">
        <v>384</v>
      </c>
      <c r="BH25" s="305" t="s">
        <v>385</v>
      </c>
      <c r="BI25" s="305" t="s">
        <v>386</v>
      </c>
    </row>
    <row r="26" spans="1:61" x14ac:dyDescent="0.25">
      <c r="A26" t="s">
        <v>387</v>
      </c>
      <c r="B26" s="306">
        <f>-B9</f>
        <v>-6000</v>
      </c>
    </row>
    <row r="27" spans="1:61" x14ac:dyDescent="0.25">
      <c r="A27" t="s">
        <v>388</v>
      </c>
      <c r="B27" s="306">
        <v>0</v>
      </c>
      <c r="C27" s="306">
        <f t="shared" ref="C27:BI27" si="0">$B$7*$B$8</f>
        <v>480</v>
      </c>
      <c r="D27" s="306">
        <f t="shared" si="0"/>
        <v>480</v>
      </c>
      <c r="E27" s="306">
        <f t="shared" si="0"/>
        <v>480</v>
      </c>
      <c r="F27" s="306">
        <f t="shared" si="0"/>
        <v>480</v>
      </c>
      <c r="G27" s="306">
        <f t="shared" si="0"/>
        <v>480</v>
      </c>
      <c r="H27" s="306">
        <f t="shared" si="0"/>
        <v>480</v>
      </c>
      <c r="I27" s="306">
        <f t="shared" si="0"/>
        <v>480</v>
      </c>
      <c r="J27" s="306">
        <f t="shared" si="0"/>
        <v>480</v>
      </c>
      <c r="K27" s="306">
        <f t="shared" si="0"/>
        <v>480</v>
      </c>
      <c r="L27" s="306">
        <f t="shared" si="0"/>
        <v>480</v>
      </c>
      <c r="M27" s="306">
        <f t="shared" si="0"/>
        <v>480</v>
      </c>
      <c r="N27" s="306">
        <f t="shared" si="0"/>
        <v>480</v>
      </c>
      <c r="O27" s="306">
        <f t="shared" si="0"/>
        <v>480</v>
      </c>
      <c r="P27" s="306">
        <f t="shared" si="0"/>
        <v>480</v>
      </c>
      <c r="Q27" s="306">
        <f t="shared" si="0"/>
        <v>480</v>
      </c>
      <c r="R27" s="306">
        <f t="shared" si="0"/>
        <v>480</v>
      </c>
      <c r="S27" s="306">
        <f t="shared" si="0"/>
        <v>480</v>
      </c>
      <c r="T27" s="306">
        <f t="shared" si="0"/>
        <v>480</v>
      </c>
      <c r="U27" s="306">
        <f t="shared" si="0"/>
        <v>480</v>
      </c>
      <c r="V27" s="306">
        <f t="shared" si="0"/>
        <v>480</v>
      </c>
      <c r="W27" s="306">
        <f t="shared" si="0"/>
        <v>480</v>
      </c>
      <c r="X27" s="306">
        <f t="shared" si="0"/>
        <v>480</v>
      </c>
      <c r="Y27" s="306">
        <f t="shared" si="0"/>
        <v>480</v>
      </c>
      <c r="Z27" s="306">
        <f t="shared" si="0"/>
        <v>480</v>
      </c>
      <c r="AA27" s="306">
        <f t="shared" si="0"/>
        <v>480</v>
      </c>
      <c r="AB27" s="306">
        <f t="shared" si="0"/>
        <v>480</v>
      </c>
      <c r="AC27" s="306">
        <f t="shared" si="0"/>
        <v>480</v>
      </c>
      <c r="AD27" s="306">
        <f t="shared" si="0"/>
        <v>480</v>
      </c>
      <c r="AE27" s="306">
        <f t="shared" si="0"/>
        <v>480</v>
      </c>
      <c r="AF27" s="306">
        <f t="shared" si="0"/>
        <v>480</v>
      </c>
      <c r="AG27" s="306">
        <f t="shared" si="0"/>
        <v>480</v>
      </c>
      <c r="AH27" s="306">
        <f t="shared" si="0"/>
        <v>480</v>
      </c>
      <c r="AI27" s="306">
        <f t="shared" si="0"/>
        <v>480</v>
      </c>
      <c r="AJ27" s="306">
        <f t="shared" si="0"/>
        <v>480</v>
      </c>
      <c r="AK27" s="306">
        <f t="shared" si="0"/>
        <v>480</v>
      </c>
      <c r="AL27" s="306">
        <f t="shared" si="0"/>
        <v>480</v>
      </c>
      <c r="AM27" s="306">
        <f t="shared" si="0"/>
        <v>480</v>
      </c>
      <c r="AN27" s="306">
        <f t="shared" si="0"/>
        <v>480</v>
      </c>
      <c r="AO27" s="306">
        <f t="shared" si="0"/>
        <v>480</v>
      </c>
      <c r="AP27" s="306">
        <f t="shared" si="0"/>
        <v>480</v>
      </c>
      <c r="AQ27" s="306">
        <f t="shared" si="0"/>
        <v>480</v>
      </c>
      <c r="AR27" s="306">
        <f t="shared" si="0"/>
        <v>480</v>
      </c>
      <c r="AS27" s="306">
        <f t="shared" si="0"/>
        <v>480</v>
      </c>
      <c r="AT27" s="306">
        <f t="shared" si="0"/>
        <v>480</v>
      </c>
      <c r="AU27" s="306">
        <f t="shared" si="0"/>
        <v>480</v>
      </c>
      <c r="AV27" s="306">
        <f t="shared" si="0"/>
        <v>480</v>
      </c>
      <c r="AW27" s="306">
        <f t="shared" si="0"/>
        <v>480</v>
      </c>
      <c r="AX27" s="306">
        <f t="shared" si="0"/>
        <v>480</v>
      </c>
      <c r="AY27" s="306">
        <f t="shared" si="0"/>
        <v>480</v>
      </c>
      <c r="AZ27" s="306">
        <f t="shared" si="0"/>
        <v>480</v>
      </c>
      <c r="BA27" s="306">
        <f t="shared" si="0"/>
        <v>480</v>
      </c>
      <c r="BB27" s="306">
        <f t="shared" si="0"/>
        <v>480</v>
      </c>
      <c r="BC27" s="306">
        <f t="shared" si="0"/>
        <v>480</v>
      </c>
      <c r="BD27" s="306">
        <f t="shared" si="0"/>
        <v>480</v>
      </c>
      <c r="BE27" s="306">
        <f t="shared" si="0"/>
        <v>480</v>
      </c>
      <c r="BF27" s="306">
        <f t="shared" si="0"/>
        <v>480</v>
      </c>
      <c r="BG27" s="306">
        <f t="shared" si="0"/>
        <v>480</v>
      </c>
      <c r="BH27" s="306">
        <f t="shared" si="0"/>
        <v>480</v>
      </c>
      <c r="BI27" s="306">
        <f t="shared" si="0"/>
        <v>480</v>
      </c>
    </row>
    <row r="28" spans="1:61" x14ac:dyDescent="0.25">
      <c r="A28" s="307" t="s">
        <v>389</v>
      </c>
      <c r="B28" s="308">
        <f t="shared" ref="B28:BI28" si="1">B26+B27</f>
        <v>-6000</v>
      </c>
      <c r="C28" s="308">
        <f t="shared" si="1"/>
        <v>480</v>
      </c>
      <c r="D28" s="308">
        <f t="shared" si="1"/>
        <v>480</v>
      </c>
      <c r="E28" s="308">
        <f t="shared" si="1"/>
        <v>480</v>
      </c>
      <c r="F28" s="308">
        <f t="shared" si="1"/>
        <v>480</v>
      </c>
      <c r="G28" s="308">
        <f t="shared" si="1"/>
        <v>480</v>
      </c>
      <c r="H28" s="308">
        <f t="shared" si="1"/>
        <v>480</v>
      </c>
      <c r="I28" s="308">
        <f t="shared" si="1"/>
        <v>480</v>
      </c>
      <c r="J28" s="308">
        <f t="shared" si="1"/>
        <v>480</v>
      </c>
      <c r="K28" s="308">
        <f t="shared" si="1"/>
        <v>480</v>
      </c>
      <c r="L28" s="308">
        <f t="shared" si="1"/>
        <v>480</v>
      </c>
      <c r="M28" s="308">
        <f t="shared" si="1"/>
        <v>480</v>
      </c>
      <c r="N28" s="308">
        <f t="shared" si="1"/>
        <v>480</v>
      </c>
      <c r="O28" s="308">
        <f t="shared" si="1"/>
        <v>480</v>
      </c>
      <c r="P28" s="308">
        <f t="shared" si="1"/>
        <v>480</v>
      </c>
      <c r="Q28" s="308">
        <f t="shared" si="1"/>
        <v>480</v>
      </c>
      <c r="R28" s="308">
        <f t="shared" si="1"/>
        <v>480</v>
      </c>
      <c r="S28" s="308">
        <f t="shared" si="1"/>
        <v>480</v>
      </c>
      <c r="T28" s="308">
        <f t="shared" si="1"/>
        <v>480</v>
      </c>
      <c r="U28" s="308">
        <f t="shared" si="1"/>
        <v>480</v>
      </c>
      <c r="V28" s="308">
        <f t="shared" si="1"/>
        <v>480</v>
      </c>
      <c r="W28" s="308">
        <f t="shared" si="1"/>
        <v>480</v>
      </c>
      <c r="X28" s="308">
        <f t="shared" si="1"/>
        <v>480</v>
      </c>
      <c r="Y28" s="308">
        <f t="shared" si="1"/>
        <v>480</v>
      </c>
      <c r="Z28" s="308">
        <f t="shared" si="1"/>
        <v>480</v>
      </c>
      <c r="AA28" s="308">
        <f t="shared" si="1"/>
        <v>480</v>
      </c>
      <c r="AB28" s="308">
        <f t="shared" si="1"/>
        <v>480</v>
      </c>
      <c r="AC28" s="308">
        <f t="shared" si="1"/>
        <v>480</v>
      </c>
      <c r="AD28" s="308">
        <f t="shared" si="1"/>
        <v>480</v>
      </c>
      <c r="AE28" s="308">
        <f t="shared" si="1"/>
        <v>480</v>
      </c>
      <c r="AF28" s="308">
        <f t="shared" si="1"/>
        <v>480</v>
      </c>
      <c r="AG28" s="308">
        <f t="shared" si="1"/>
        <v>480</v>
      </c>
      <c r="AH28" s="308">
        <f t="shared" si="1"/>
        <v>480</v>
      </c>
      <c r="AI28" s="308">
        <f t="shared" si="1"/>
        <v>480</v>
      </c>
      <c r="AJ28" s="308">
        <f t="shared" si="1"/>
        <v>480</v>
      </c>
      <c r="AK28" s="308">
        <f t="shared" si="1"/>
        <v>480</v>
      </c>
      <c r="AL28" s="308">
        <f t="shared" si="1"/>
        <v>480</v>
      </c>
      <c r="AM28" s="308">
        <f t="shared" si="1"/>
        <v>480</v>
      </c>
      <c r="AN28" s="308">
        <f t="shared" si="1"/>
        <v>480</v>
      </c>
      <c r="AO28" s="308">
        <f t="shared" si="1"/>
        <v>480</v>
      </c>
      <c r="AP28" s="308">
        <f t="shared" si="1"/>
        <v>480</v>
      </c>
      <c r="AQ28" s="308">
        <f t="shared" si="1"/>
        <v>480</v>
      </c>
      <c r="AR28" s="308">
        <f t="shared" si="1"/>
        <v>480</v>
      </c>
      <c r="AS28" s="308">
        <f t="shared" si="1"/>
        <v>480</v>
      </c>
      <c r="AT28" s="308">
        <f t="shared" si="1"/>
        <v>480</v>
      </c>
      <c r="AU28" s="308">
        <f t="shared" si="1"/>
        <v>480</v>
      </c>
      <c r="AV28" s="308">
        <f t="shared" si="1"/>
        <v>480</v>
      </c>
      <c r="AW28" s="308">
        <f t="shared" si="1"/>
        <v>480</v>
      </c>
      <c r="AX28" s="308">
        <f t="shared" si="1"/>
        <v>480</v>
      </c>
      <c r="AY28" s="308">
        <f t="shared" si="1"/>
        <v>480</v>
      </c>
      <c r="AZ28" s="308">
        <f t="shared" si="1"/>
        <v>480</v>
      </c>
      <c r="BA28" s="308">
        <f t="shared" si="1"/>
        <v>480</v>
      </c>
      <c r="BB28" s="308">
        <f t="shared" si="1"/>
        <v>480</v>
      </c>
      <c r="BC28" s="308">
        <f t="shared" si="1"/>
        <v>480</v>
      </c>
      <c r="BD28" s="308">
        <f t="shared" si="1"/>
        <v>480</v>
      </c>
      <c r="BE28" s="308">
        <f t="shared" si="1"/>
        <v>480</v>
      </c>
      <c r="BF28" s="308">
        <f t="shared" si="1"/>
        <v>480</v>
      </c>
      <c r="BG28" s="308">
        <f t="shared" si="1"/>
        <v>480</v>
      </c>
      <c r="BH28" s="308">
        <f t="shared" si="1"/>
        <v>480</v>
      </c>
      <c r="BI28" s="308">
        <f t="shared" si="1"/>
        <v>480</v>
      </c>
    </row>
    <row r="29" spans="1:61" ht="15.75" thickBot="1" x14ac:dyDescent="0.3">
      <c r="A29" s="309" t="s">
        <v>390</v>
      </c>
      <c r="B29" s="310">
        <f>SUM(B26:B27)</f>
        <v>-6000</v>
      </c>
      <c r="C29" s="310">
        <f t="shared" ref="C29:BI29" si="2">B29+C27</f>
        <v>-5520</v>
      </c>
      <c r="D29" s="310">
        <f t="shared" si="2"/>
        <v>-5040</v>
      </c>
      <c r="E29" s="310">
        <f t="shared" si="2"/>
        <v>-4560</v>
      </c>
      <c r="F29" s="310">
        <f t="shared" si="2"/>
        <v>-4080</v>
      </c>
      <c r="G29" s="310">
        <f t="shared" si="2"/>
        <v>-3600</v>
      </c>
      <c r="H29" s="310">
        <f t="shared" si="2"/>
        <v>-3120</v>
      </c>
      <c r="I29" s="310">
        <f t="shared" si="2"/>
        <v>-2640</v>
      </c>
      <c r="J29" s="310">
        <f t="shared" si="2"/>
        <v>-2160</v>
      </c>
      <c r="K29" s="310">
        <f t="shared" si="2"/>
        <v>-1680</v>
      </c>
      <c r="L29" s="310">
        <f t="shared" si="2"/>
        <v>-1200</v>
      </c>
      <c r="M29" s="310">
        <f t="shared" si="2"/>
        <v>-720</v>
      </c>
      <c r="N29" s="310">
        <f t="shared" si="2"/>
        <v>-240</v>
      </c>
      <c r="O29" s="310">
        <f t="shared" si="2"/>
        <v>240</v>
      </c>
      <c r="P29" s="310">
        <f t="shared" si="2"/>
        <v>720</v>
      </c>
      <c r="Q29" s="310">
        <f t="shared" si="2"/>
        <v>1200</v>
      </c>
      <c r="R29" s="310">
        <f t="shared" si="2"/>
        <v>1680</v>
      </c>
      <c r="S29" s="310">
        <f t="shared" si="2"/>
        <v>2160</v>
      </c>
      <c r="T29" s="310">
        <f t="shared" si="2"/>
        <v>2640</v>
      </c>
      <c r="U29" s="310">
        <f t="shared" si="2"/>
        <v>3120</v>
      </c>
      <c r="V29" s="310">
        <f t="shared" si="2"/>
        <v>3600</v>
      </c>
      <c r="W29" s="310">
        <f t="shared" si="2"/>
        <v>4080</v>
      </c>
      <c r="X29" s="310">
        <f t="shared" si="2"/>
        <v>4560</v>
      </c>
      <c r="Y29" s="310">
        <f t="shared" si="2"/>
        <v>5040</v>
      </c>
      <c r="Z29" s="310">
        <f t="shared" si="2"/>
        <v>5520</v>
      </c>
      <c r="AA29" s="310">
        <f t="shared" si="2"/>
        <v>6000</v>
      </c>
      <c r="AB29" s="310">
        <f t="shared" si="2"/>
        <v>6480</v>
      </c>
      <c r="AC29" s="310">
        <f t="shared" si="2"/>
        <v>6960</v>
      </c>
      <c r="AD29" s="310">
        <f t="shared" si="2"/>
        <v>7440</v>
      </c>
      <c r="AE29" s="310">
        <f t="shared" si="2"/>
        <v>7920</v>
      </c>
      <c r="AF29" s="310">
        <f t="shared" si="2"/>
        <v>8400</v>
      </c>
      <c r="AG29" s="310">
        <f t="shared" si="2"/>
        <v>8880</v>
      </c>
      <c r="AH29" s="310">
        <f t="shared" si="2"/>
        <v>9360</v>
      </c>
      <c r="AI29" s="310">
        <f t="shared" si="2"/>
        <v>9840</v>
      </c>
      <c r="AJ29" s="310">
        <f t="shared" si="2"/>
        <v>10320</v>
      </c>
      <c r="AK29" s="310">
        <f t="shared" si="2"/>
        <v>10800</v>
      </c>
      <c r="AL29" s="310">
        <f t="shared" si="2"/>
        <v>11280</v>
      </c>
      <c r="AM29" s="310">
        <f t="shared" si="2"/>
        <v>11760</v>
      </c>
      <c r="AN29" s="310">
        <f t="shared" si="2"/>
        <v>12240</v>
      </c>
      <c r="AO29" s="310">
        <f t="shared" si="2"/>
        <v>12720</v>
      </c>
      <c r="AP29" s="310">
        <f t="shared" si="2"/>
        <v>13200</v>
      </c>
      <c r="AQ29" s="310">
        <f t="shared" si="2"/>
        <v>13680</v>
      </c>
      <c r="AR29" s="310">
        <f t="shared" si="2"/>
        <v>14160</v>
      </c>
      <c r="AS29" s="310">
        <f t="shared" si="2"/>
        <v>14640</v>
      </c>
      <c r="AT29" s="310">
        <f t="shared" si="2"/>
        <v>15120</v>
      </c>
      <c r="AU29" s="310">
        <f t="shared" si="2"/>
        <v>15600</v>
      </c>
      <c r="AV29" s="310">
        <f t="shared" si="2"/>
        <v>16080</v>
      </c>
      <c r="AW29" s="310">
        <f t="shared" si="2"/>
        <v>16560</v>
      </c>
      <c r="AX29" s="310">
        <f t="shared" si="2"/>
        <v>17040</v>
      </c>
      <c r="AY29" s="310">
        <f t="shared" si="2"/>
        <v>17520</v>
      </c>
      <c r="AZ29" s="310">
        <f t="shared" si="2"/>
        <v>18000</v>
      </c>
      <c r="BA29" s="310">
        <f t="shared" si="2"/>
        <v>18480</v>
      </c>
      <c r="BB29" s="310">
        <f t="shared" si="2"/>
        <v>18960</v>
      </c>
      <c r="BC29" s="310">
        <f t="shared" si="2"/>
        <v>19440</v>
      </c>
      <c r="BD29" s="310">
        <f t="shared" si="2"/>
        <v>19920</v>
      </c>
      <c r="BE29" s="310">
        <f t="shared" si="2"/>
        <v>20400</v>
      </c>
      <c r="BF29" s="310">
        <f t="shared" si="2"/>
        <v>20880</v>
      </c>
      <c r="BG29" s="310">
        <f t="shared" si="2"/>
        <v>21360</v>
      </c>
      <c r="BH29" s="310">
        <f t="shared" si="2"/>
        <v>21840</v>
      </c>
      <c r="BI29" s="310">
        <f t="shared" si="2"/>
        <v>22320</v>
      </c>
    </row>
    <row r="30" spans="1:61" ht="15.75" thickTop="1" x14ac:dyDescent="0.25"/>
    <row r="33" spans="1:61" ht="20.25" thickBot="1" x14ac:dyDescent="0.35">
      <c r="A33" s="304" t="s">
        <v>391</v>
      </c>
      <c r="B33" s="304"/>
    </row>
    <row r="34" spans="1:61" ht="15.75" thickTop="1" x14ac:dyDescent="0.25"/>
    <row r="35" spans="1:61" x14ac:dyDescent="0.25">
      <c r="B35" s="305" t="s">
        <v>327</v>
      </c>
      <c r="C35" s="305" t="s">
        <v>328</v>
      </c>
      <c r="D35" s="305" t="s">
        <v>329</v>
      </c>
      <c r="E35" s="305" t="s">
        <v>330</v>
      </c>
      <c r="F35" s="305" t="s">
        <v>331</v>
      </c>
      <c r="G35" s="305" t="s">
        <v>332</v>
      </c>
      <c r="H35" s="305" t="s">
        <v>333</v>
      </c>
      <c r="I35" s="305" t="s">
        <v>334</v>
      </c>
      <c r="J35" s="305" t="s">
        <v>335</v>
      </c>
      <c r="K35" s="305" t="s">
        <v>336</v>
      </c>
      <c r="L35" s="305" t="s">
        <v>337</v>
      </c>
      <c r="M35" s="305" t="s">
        <v>338</v>
      </c>
      <c r="N35" s="305" t="s">
        <v>339</v>
      </c>
      <c r="O35" s="305" t="s">
        <v>340</v>
      </c>
      <c r="P35" s="305" t="s">
        <v>341</v>
      </c>
      <c r="Q35" s="305" t="s">
        <v>342</v>
      </c>
      <c r="R35" s="305" t="s">
        <v>343</v>
      </c>
      <c r="S35" s="305" t="s">
        <v>344</v>
      </c>
      <c r="T35" s="305" t="s">
        <v>345</v>
      </c>
      <c r="U35" s="305" t="s">
        <v>346</v>
      </c>
      <c r="V35" s="305" t="s">
        <v>347</v>
      </c>
      <c r="W35" s="305" t="s">
        <v>348</v>
      </c>
      <c r="X35" s="305" t="s">
        <v>349</v>
      </c>
      <c r="Y35" s="305" t="s">
        <v>350</v>
      </c>
      <c r="Z35" s="305" t="s">
        <v>351</v>
      </c>
      <c r="AA35" s="305" t="s">
        <v>352</v>
      </c>
      <c r="AB35" s="305" t="s">
        <v>353</v>
      </c>
      <c r="AC35" s="305" t="s">
        <v>354</v>
      </c>
      <c r="AD35" s="305" t="s">
        <v>355</v>
      </c>
      <c r="AE35" s="305" t="s">
        <v>356</v>
      </c>
      <c r="AF35" s="305" t="s">
        <v>357</v>
      </c>
      <c r="AG35" s="305" t="s">
        <v>358</v>
      </c>
      <c r="AH35" s="305" t="s">
        <v>359</v>
      </c>
      <c r="AI35" s="305" t="s">
        <v>360</v>
      </c>
      <c r="AJ35" s="305" t="s">
        <v>361</v>
      </c>
      <c r="AK35" s="305" t="s">
        <v>362</v>
      </c>
      <c r="AL35" s="305" t="s">
        <v>363</v>
      </c>
      <c r="AM35" s="305" t="s">
        <v>364</v>
      </c>
      <c r="AN35" s="305" t="s">
        <v>365</v>
      </c>
      <c r="AO35" s="305" t="s">
        <v>366</v>
      </c>
      <c r="AP35" s="305" t="s">
        <v>367</v>
      </c>
      <c r="AQ35" s="305" t="s">
        <v>368</v>
      </c>
      <c r="AR35" s="305" t="s">
        <v>369</v>
      </c>
      <c r="AS35" s="305" t="s">
        <v>370</v>
      </c>
      <c r="AT35" s="305" t="s">
        <v>371</v>
      </c>
      <c r="AU35" s="305" t="s">
        <v>372</v>
      </c>
      <c r="AV35" s="305" t="s">
        <v>373</v>
      </c>
      <c r="AW35" s="305" t="s">
        <v>374</v>
      </c>
      <c r="AX35" s="305" t="s">
        <v>375</v>
      </c>
      <c r="AY35" s="305" t="s">
        <v>376</v>
      </c>
      <c r="AZ35" s="305" t="s">
        <v>377</v>
      </c>
      <c r="BA35" s="305" t="s">
        <v>378</v>
      </c>
      <c r="BB35" s="305" t="s">
        <v>379</v>
      </c>
      <c r="BC35" s="305" t="s">
        <v>380</v>
      </c>
      <c r="BD35" s="305" t="s">
        <v>381</v>
      </c>
      <c r="BE35" s="305" t="s">
        <v>382</v>
      </c>
      <c r="BF35" s="305" t="s">
        <v>383</v>
      </c>
      <c r="BG35" s="305" t="s">
        <v>384</v>
      </c>
      <c r="BH35" s="305" t="s">
        <v>385</v>
      </c>
      <c r="BI35" s="305" t="s">
        <v>386</v>
      </c>
    </row>
    <row r="36" spans="1:61" x14ac:dyDescent="0.25">
      <c r="A36" t="s">
        <v>392</v>
      </c>
      <c r="B36" s="311">
        <f>$B$12</f>
        <v>10</v>
      </c>
      <c r="C36" s="311">
        <f t="shared" ref="C36:BI36" si="3">B36+$B$13</f>
        <v>12</v>
      </c>
      <c r="D36" s="311">
        <f t="shared" si="3"/>
        <v>14</v>
      </c>
      <c r="E36" s="311">
        <f t="shared" si="3"/>
        <v>16</v>
      </c>
      <c r="F36" s="311">
        <f t="shared" si="3"/>
        <v>18</v>
      </c>
      <c r="G36" s="311">
        <f t="shared" si="3"/>
        <v>20</v>
      </c>
      <c r="H36" s="311">
        <f t="shared" si="3"/>
        <v>22</v>
      </c>
      <c r="I36" s="311">
        <f t="shared" si="3"/>
        <v>24</v>
      </c>
      <c r="J36" s="311">
        <f t="shared" si="3"/>
        <v>26</v>
      </c>
      <c r="K36" s="311">
        <f t="shared" si="3"/>
        <v>28</v>
      </c>
      <c r="L36" s="311">
        <f t="shared" si="3"/>
        <v>30</v>
      </c>
      <c r="M36" s="311">
        <f t="shared" si="3"/>
        <v>32</v>
      </c>
      <c r="N36" s="311">
        <f t="shared" si="3"/>
        <v>34</v>
      </c>
      <c r="O36" s="311">
        <f t="shared" si="3"/>
        <v>36</v>
      </c>
      <c r="P36" s="311">
        <f t="shared" si="3"/>
        <v>38</v>
      </c>
      <c r="Q36" s="311">
        <f t="shared" si="3"/>
        <v>40</v>
      </c>
      <c r="R36" s="311">
        <f t="shared" si="3"/>
        <v>42</v>
      </c>
      <c r="S36" s="311">
        <f t="shared" si="3"/>
        <v>44</v>
      </c>
      <c r="T36" s="311">
        <f t="shared" si="3"/>
        <v>46</v>
      </c>
      <c r="U36" s="311">
        <f t="shared" si="3"/>
        <v>48</v>
      </c>
      <c r="V36" s="311">
        <f t="shared" si="3"/>
        <v>50</v>
      </c>
      <c r="W36" s="311">
        <f t="shared" si="3"/>
        <v>52</v>
      </c>
      <c r="X36" s="311">
        <f t="shared" si="3"/>
        <v>54</v>
      </c>
      <c r="Y36" s="311">
        <f t="shared" si="3"/>
        <v>56</v>
      </c>
      <c r="Z36" s="311">
        <f t="shared" si="3"/>
        <v>58</v>
      </c>
      <c r="AA36" s="311">
        <f t="shared" si="3"/>
        <v>60</v>
      </c>
      <c r="AB36" s="311">
        <f t="shared" si="3"/>
        <v>62</v>
      </c>
      <c r="AC36" s="311">
        <f t="shared" si="3"/>
        <v>64</v>
      </c>
      <c r="AD36" s="311">
        <f t="shared" si="3"/>
        <v>66</v>
      </c>
      <c r="AE36" s="311">
        <f t="shared" si="3"/>
        <v>68</v>
      </c>
      <c r="AF36" s="311">
        <f t="shared" si="3"/>
        <v>70</v>
      </c>
      <c r="AG36" s="311">
        <f t="shared" si="3"/>
        <v>72</v>
      </c>
      <c r="AH36" s="311">
        <f t="shared" si="3"/>
        <v>74</v>
      </c>
      <c r="AI36" s="311">
        <f t="shared" si="3"/>
        <v>76</v>
      </c>
      <c r="AJ36" s="311">
        <f t="shared" si="3"/>
        <v>78</v>
      </c>
      <c r="AK36" s="311">
        <f t="shared" si="3"/>
        <v>80</v>
      </c>
      <c r="AL36" s="311">
        <f t="shared" si="3"/>
        <v>82</v>
      </c>
      <c r="AM36" s="311">
        <f t="shared" si="3"/>
        <v>84</v>
      </c>
      <c r="AN36" s="311">
        <f t="shared" si="3"/>
        <v>86</v>
      </c>
      <c r="AO36" s="311">
        <f t="shared" si="3"/>
        <v>88</v>
      </c>
      <c r="AP36" s="311">
        <f t="shared" si="3"/>
        <v>90</v>
      </c>
      <c r="AQ36" s="311">
        <f t="shared" si="3"/>
        <v>92</v>
      </c>
      <c r="AR36" s="311">
        <f t="shared" si="3"/>
        <v>94</v>
      </c>
      <c r="AS36" s="311">
        <f t="shared" si="3"/>
        <v>96</v>
      </c>
      <c r="AT36" s="311">
        <f t="shared" si="3"/>
        <v>98</v>
      </c>
      <c r="AU36" s="311">
        <f t="shared" si="3"/>
        <v>100</v>
      </c>
      <c r="AV36" s="311">
        <f t="shared" si="3"/>
        <v>102</v>
      </c>
      <c r="AW36" s="311">
        <f t="shared" si="3"/>
        <v>104</v>
      </c>
      <c r="AX36" s="311">
        <f t="shared" si="3"/>
        <v>106</v>
      </c>
      <c r="AY36" s="311">
        <f t="shared" si="3"/>
        <v>108</v>
      </c>
      <c r="AZ36" s="311">
        <f t="shared" si="3"/>
        <v>110</v>
      </c>
      <c r="BA36" s="311">
        <f t="shared" si="3"/>
        <v>112</v>
      </c>
      <c r="BB36" s="311">
        <f t="shared" si="3"/>
        <v>114</v>
      </c>
      <c r="BC36" s="311">
        <f t="shared" si="3"/>
        <v>116</v>
      </c>
      <c r="BD36" s="311">
        <f t="shared" si="3"/>
        <v>118</v>
      </c>
      <c r="BE36" s="311">
        <f t="shared" si="3"/>
        <v>120</v>
      </c>
      <c r="BF36" s="311">
        <f t="shared" si="3"/>
        <v>122</v>
      </c>
      <c r="BG36" s="311">
        <f t="shared" si="3"/>
        <v>124</v>
      </c>
      <c r="BH36" s="311">
        <f t="shared" si="3"/>
        <v>126</v>
      </c>
      <c r="BI36" s="311">
        <f t="shared" si="3"/>
        <v>128</v>
      </c>
    </row>
    <row r="37" spans="1:61" x14ac:dyDescent="0.25">
      <c r="A37" t="s">
        <v>393</v>
      </c>
      <c r="B37" s="311"/>
      <c r="C37" s="311">
        <f>ROUND(B38*-$B$10,0)</f>
        <v>0</v>
      </c>
      <c r="D37" s="311">
        <f t="shared" ref="D37:BI37" si="4">ROUND(C38*-$B$10,0)</f>
        <v>-1</v>
      </c>
      <c r="E37" s="311">
        <f t="shared" si="4"/>
        <v>-1</v>
      </c>
      <c r="F37" s="311">
        <f t="shared" si="4"/>
        <v>-1</v>
      </c>
      <c r="G37" s="311">
        <f t="shared" si="4"/>
        <v>-2</v>
      </c>
      <c r="H37" s="311">
        <f t="shared" si="4"/>
        <v>-2</v>
      </c>
      <c r="I37" s="311">
        <f t="shared" si="4"/>
        <v>-3</v>
      </c>
      <c r="J37" s="311">
        <f t="shared" si="4"/>
        <v>-3</v>
      </c>
      <c r="K37" s="311">
        <f t="shared" si="4"/>
        <v>-4</v>
      </c>
      <c r="L37" s="311">
        <f t="shared" si="4"/>
        <v>-4</v>
      </c>
      <c r="M37" s="311">
        <f t="shared" si="4"/>
        <v>-5</v>
      </c>
      <c r="N37" s="311">
        <f t="shared" si="4"/>
        <v>-6</v>
      </c>
      <c r="O37" s="311">
        <f t="shared" si="4"/>
        <v>-6</v>
      </c>
      <c r="P37" s="311">
        <f t="shared" si="4"/>
        <v>-7</v>
      </c>
      <c r="Q37" s="311">
        <f t="shared" si="4"/>
        <v>-8</v>
      </c>
      <c r="R37" s="311">
        <f t="shared" si="4"/>
        <v>-9</v>
      </c>
      <c r="S37" s="311">
        <f t="shared" si="4"/>
        <v>-10</v>
      </c>
      <c r="T37" s="311">
        <f t="shared" si="4"/>
        <v>-10</v>
      </c>
      <c r="U37" s="311">
        <f t="shared" si="4"/>
        <v>-11</v>
      </c>
      <c r="V37" s="311">
        <f t="shared" si="4"/>
        <v>-12</v>
      </c>
      <c r="W37" s="311">
        <f t="shared" si="4"/>
        <v>-13</v>
      </c>
      <c r="X37" s="311">
        <f t="shared" si="4"/>
        <v>-14</v>
      </c>
      <c r="Y37" s="311">
        <f t="shared" si="4"/>
        <v>-15</v>
      </c>
      <c r="Z37" s="311">
        <f t="shared" si="4"/>
        <v>-16</v>
      </c>
      <c r="AA37" s="311">
        <f t="shared" si="4"/>
        <v>-17</v>
      </c>
      <c r="AB37" s="311">
        <f t="shared" si="4"/>
        <v>-18</v>
      </c>
      <c r="AC37" s="311">
        <f t="shared" si="4"/>
        <v>-19</v>
      </c>
      <c r="AD37" s="311">
        <f t="shared" si="4"/>
        <v>-20</v>
      </c>
      <c r="AE37" s="311">
        <f t="shared" si="4"/>
        <v>-22</v>
      </c>
      <c r="AF37" s="311">
        <f t="shared" si="4"/>
        <v>-23</v>
      </c>
      <c r="AG37" s="311">
        <f t="shared" si="4"/>
        <v>-24</v>
      </c>
      <c r="AH37" s="311">
        <f t="shared" si="4"/>
        <v>-25</v>
      </c>
      <c r="AI37" s="311">
        <f t="shared" si="4"/>
        <v>-26</v>
      </c>
      <c r="AJ37" s="311">
        <f t="shared" si="4"/>
        <v>-28</v>
      </c>
      <c r="AK37" s="311">
        <f t="shared" si="4"/>
        <v>-29</v>
      </c>
      <c r="AL37" s="311">
        <f t="shared" si="4"/>
        <v>-30</v>
      </c>
      <c r="AM37" s="311">
        <f t="shared" si="4"/>
        <v>-31</v>
      </c>
      <c r="AN37" s="311">
        <f t="shared" si="4"/>
        <v>-33</v>
      </c>
      <c r="AO37" s="311">
        <f t="shared" si="4"/>
        <v>-34</v>
      </c>
      <c r="AP37" s="311">
        <f t="shared" si="4"/>
        <v>-35</v>
      </c>
      <c r="AQ37" s="311">
        <f t="shared" si="4"/>
        <v>-37</v>
      </c>
      <c r="AR37" s="311">
        <f t="shared" si="4"/>
        <v>-38</v>
      </c>
      <c r="AS37" s="311">
        <f t="shared" si="4"/>
        <v>-40</v>
      </c>
      <c r="AT37" s="311">
        <f t="shared" si="4"/>
        <v>-41</v>
      </c>
      <c r="AU37" s="311">
        <f t="shared" si="4"/>
        <v>-42</v>
      </c>
      <c r="AV37" s="311">
        <f t="shared" si="4"/>
        <v>-44</v>
      </c>
      <c r="AW37" s="311">
        <f t="shared" si="4"/>
        <v>-45</v>
      </c>
      <c r="AX37" s="311">
        <f t="shared" si="4"/>
        <v>-47</v>
      </c>
      <c r="AY37" s="311">
        <f t="shared" si="4"/>
        <v>-48</v>
      </c>
      <c r="AZ37" s="311">
        <f t="shared" si="4"/>
        <v>-50</v>
      </c>
      <c r="BA37" s="311">
        <f t="shared" si="4"/>
        <v>-51</v>
      </c>
      <c r="BB37" s="311">
        <f t="shared" si="4"/>
        <v>-53</v>
      </c>
      <c r="BC37" s="311">
        <f t="shared" si="4"/>
        <v>-54</v>
      </c>
      <c r="BD37" s="311">
        <f t="shared" si="4"/>
        <v>-56</v>
      </c>
      <c r="BE37" s="311">
        <f t="shared" si="4"/>
        <v>-57</v>
      </c>
      <c r="BF37" s="311">
        <f t="shared" si="4"/>
        <v>-59</v>
      </c>
      <c r="BG37" s="311">
        <f t="shared" si="4"/>
        <v>-61</v>
      </c>
      <c r="BH37" s="311">
        <f t="shared" si="4"/>
        <v>-62</v>
      </c>
      <c r="BI37" s="311">
        <f t="shared" si="4"/>
        <v>-64</v>
      </c>
    </row>
    <row r="38" spans="1:61" x14ac:dyDescent="0.25">
      <c r="A38" t="s">
        <v>394</v>
      </c>
      <c r="B38" s="311">
        <f>B36</f>
        <v>10</v>
      </c>
      <c r="C38" s="311">
        <f>B38+C36+C37</f>
        <v>22</v>
      </c>
      <c r="D38" s="311">
        <f t="shared" ref="D38:BI38" si="5">C38+D36+D37</f>
        <v>35</v>
      </c>
      <c r="E38" s="311">
        <f t="shared" si="5"/>
        <v>50</v>
      </c>
      <c r="F38" s="311">
        <f t="shared" si="5"/>
        <v>67</v>
      </c>
      <c r="G38" s="311">
        <f t="shared" si="5"/>
        <v>85</v>
      </c>
      <c r="H38" s="311">
        <f t="shared" si="5"/>
        <v>105</v>
      </c>
      <c r="I38" s="311">
        <f t="shared" si="5"/>
        <v>126</v>
      </c>
      <c r="J38" s="311">
        <f t="shared" si="5"/>
        <v>149</v>
      </c>
      <c r="K38" s="311">
        <f t="shared" si="5"/>
        <v>173</v>
      </c>
      <c r="L38" s="311">
        <f t="shared" si="5"/>
        <v>199</v>
      </c>
      <c r="M38" s="311">
        <f t="shared" si="5"/>
        <v>226</v>
      </c>
      <c r="N38" s="311">
        <f t="shared" si="5"/>
        <v>254</v>
      </c>
      <c r="O38" s="311">
        <f t="shared" si="5"/>
        <v>284</v>
      </c>
      <c r="P38" s="311">
        <f t="shared" si="5"/>
        <v>315</v>
      </c>
      <c r="Q38" s="311">
        <f t="shared" si="5"/>
        <v>347</v>
      </c>
      <c r="R38" s="311">
        <f t="shared" si="5"/>
        <v>380</v>
      </c>
      <c r="S38" s="311">
        <f t="shared" si="5"/>
        <v>414</v>
      </c>
      <c r="T38" s="311">
        <f t="shared" si="5"/>
        <v>450</v>
      </c>
      <c r="U38" s="311">
        <f t="shared" si="5"/>
        <v>487</v>
      </c>
      <c r="V38" s="311">
        <f t="shared" si="5"/>
        <v>525</v>
      </c>
      <c r="W38" s="311">
        <f t="shared" si="5"/>
        <v>564</v>
      </c>
      <c r="X38" s="311">
        <f t="shared" si="5"/>
        <v>604</v>
      </c>
      <c r="Y38" s="311">
        <f t="shared" si="5"/>
        <v>645</v>
      </c>
      <c r="Z38" s="311">
        <f t="shared" si="5"/>
        <v>687</v>
      </c>
      <c r="AA38" s="311">
        <f t="shared" si="5"/>
        <v>730</v>
      </c>
      <c r="AB38" s="311">
        <f t="shared" si="5"/>
        <v>774</v>
      </c>
      <c r="AC38" s="311">
        <f t="shared" si="5"/>
        <v>819</v>
      </c>
      <c r="AD38" s="311">
        <f t="shared" si="5"/>
        <v>865</v>
      </c>
      <c r="AE38" s="311">
        <f t="shared" si="5"/>
        <v>911</v>
      </c>
      <c r="AF38" s="311">
        <f t="shared" si="5"/>
        <v>958</v>
      </c>
      <c r="AG38" s="311">
        <f t="shared" si="5"/>
        <v>1006</v>
      </c>
      <c r="AH38" s="311">
        <f t="shared" si="5"/>
        <v>1055</v>
      </c>
      <c r="AI38" s="311">
        <f t="shared" si="5"/>
        <v>1105</v>
      </c>
      <c r="AJ38" s="311">
        <f t="shared" si="5"/>
        <v>1155</v>
      </c>
      <c r="AK38" s="311">
        <f t="shared" si="5"/>
        <v>1206</v>
      </c>
      <c r="AL38" s="311">
        <f t="shared" si="5"/>
        <v>1258</v>
      </c>
      <c r="AM38" s="311">
        <f t="shared" si="5"/>
        <v>1311</v>
      </c>
      <c r="AN38" s="311">
        <f t="shared" si="5"/>
        <v>1364</v>
      </c>
      <c r="AO38" s="311">
        <f t="shared" si="5"/>
        <v>1418</v>
      </c>
      <c r="AP38" s="311">
        <f t="shared" si="5"/>
        <v>1473</v>
      </c>
      <c r="AQ38" s="311">
        <f t="shared" si="5"/>
        <v>1528</v>
      </c>
      <c r="AR38" s="311">
        <f t="shared" si="5"/>
        <v>1584</v>
      </c>
      <c r="AS38" s="311">
        <f t="shared" si="5"/>
        <v>1640</v>
      </c>
      <c r="AT38" s="311">
        <f t="shared" si="5"/>
        <v>1697</v>
      </c>
      <c r="AU38" s="311">
        <f t="shared" si="5"/>
        <v>1755</v>
      </c>
      <c r="AV38" s="311">
        <f t="shared" si="5"/>
        <v>1813</v>
      </c>
      <c r="AW38" s="311">
        <f t="shared" si="5"/>
        <v>1872</v>
      </c>
      <c r="AX38" s="311">
        <f t="shared" si="5"/>
        <v>1931</v>
      </c>
      <c r="AY38" s="311">
        <f t="shared" si="5"/>
        <v>1991</v>
      </c>
      <c r="AZ38" s="311">
        <f t="shared" si="5"/>
        <v>2051</v>
      </c>
      <c r="BA38" s="311">
        <f t="shared" si="5"/>
        <v>2112</v>
      </c>
      <c r="BB38" s="311">
        <f t="shared" si="5"/>
        <v>2173</v>
      </c>
      <c r="BC38" s="311">
        <f t="shared" si="5"/>
        <v>2235</v>
      </c>
      <c r="BD38" s="311">
        <f t="shared" si="5"/>
        <v>2297</v>
      </c>
      <c r="BE38" s="311">
        <f t="shared" si="5"/>
        <v>2360</v>
      </c>
      <c r="BF38" s="311">
        <f t="shared" si="5"/>
        <v>2423</v>
      </c>
      <c r="BG38" s="311">
        <f t="shared" si="5"/>
        <v>2486</v>
      </c>
      <c r="BH38" s="311">
        <f t="shared" si="5"/>
        <v>2550</v>
      </c>
      <c r="BI38" s="311">
        <f t="shared" si="5"/>
        <v>2614</v>
      </c>
    </row>
    <row r="39" spans="1:61" x14ac:dyDescent="0.25">
      <c r="A39" t="s">
        <v>395</v>
      </c>
      <c r="B39" s="301">
        <f t="shared" ref="B39:BI39" si="6">-B36*$B$9</f>
        <v>-60000</v>
      </c>
      <c r="C39" s="301">
        <f t="shared" si="6"/>
        <v>-72000</v>
      </c>
      <c r="D39" s="301">
        <f t="shared" si="6"/>
        <v>-84000</v>
      </c>
      <c r="E39" s="301">
        <f t="shared" si="6"/>
        <v>-96000</v>
      </c>
      <c r="F39" s="301">
        <f t="shared" si="6"/>
        <v>-108000</v>
      </c>
      <c r="G39" s="301">
        <f t="shared" si="6"/>
        <v>-120000</v>
      </c>
      <c r="H39" s="301">
        <f t="shared" si="6"/>
        <v>-132000</v>
      </c>
      <c r="I39" s="301">
        <f t="shared" si="6"/>
        <v>-144000</v>
      </c>
      <c r="J39" s="301">
        <f t="shared" si="6"/>
        <v>-156000</v>
      </c>
      <c r="K39" s="301">
        <f t="shared" si="6"/>
        <v>-168000</v>
      </c>
      <c r="L39" s="301">
        <f t="shared" si="6"/>
        <v>-180000</v>
      </c>
      <c r="M39" s="301">
        <f t="shared" si="6"/>
        <v>-192000</v>
      </c>
      <c r="N39" s="301">
        <f t="shared" si="6"/>
        <v>-204000</v>
      </c>
      <c r="O39" s="301">
        <f t="shared" si="6"/>
        <v>-216000</v>
      </c>
      <c r="P39" s="301">
        <f t="shared" si="6"/>
        <v>-228000</v>
      </c>
      <c r="Q39" s="301">
        <f t="shared" si="6"/>
        <v>-240000</v>
      </c>
      <c r="R39" s="301">
        <f t="shared" si="6"/>
        <v>-252000</v>
      </c>
      <c r="S39" s="301">
        <f t="shared" si="6"/>
        <v>-264000</v>
      </c>
      <c r="T39" s="301">
        <f t="shared" si="6"/>
        <v>-276000</v>
      </c>
      <c r="U39" s="301">
        <f t="shared" si="6"/>
        <v>-288000</v>
      </c>
      <c r="V39" s="301">
        <f t="shared" si="6"/>
        <v>-300000</v>
      </c>
      <c r="W39" s="301">
        <f t="shared" si="6"/>
        <v>-312000</v>
      </c>
      <c r="X39" s="301">
        <f t="shared" si="6"/>
        <v>-324000</v>
      </c>
      <c r="Y39" s="301">
        <f t="shared" si="6"/>
        <v>-336000</v>
      </c>
      <c r="Z39" s="301">
        <f t="shared" si="6"/>
        <v>-348000</v>
      </c>
      <c r="AA39" s="301">
        <f t="shared" si="6"/>
        <v>-360000</v>
      </c>
      <c r="AB39" s="301">
        <f t="shared" si="6"/>
        <v>-372000</v>
      </c>
      <c r="AC39" s="301">
        <f t="shared" si="6"/>
        <v>-384000</v>
      </c>
      <c r="AD39" s="301">
        <f t="shared" si="6"/>
        <v>-396000</v>
      </c>
      <c r="AE39" s="301">
        <f t="shared" si="6"/>
        <v>-408000</v>
      </c>
      <c r="AF39" s="301">
        <f t="shared" si="6"/>
        <v>-420000</v>
      </c>
      <c r="AG39" s="301">
        <f t="shared" si="6"/>
        <v>-432000</v>
      </c>
      <c r="AH39" s="301">
        <f t="shared" si="6"/>
        <v>-444000</v>
      </c>
      <c r="AI39" s="301">
        <f t="shared" si="6"/>
        <v>-456000</v>
      </c>
      <c r="AJ39" s="301">
        <f t="shared" si="6"/>
        <v>-468000</v>
      </c>
      <c r="AK39" s="301">
        <f t="shared" si="6"/>
        <v>-480000</v>
      </c>
      <c r="AL39" s="301">
        <f t="shared" si="6"/>
        <v>-492000</v>
      </c>
      <c r="AM39" s="301">
        <f t="shared" si="6"/>
        <v>-504000</v>
      </c>
      <c r="AN39" s="301">
        <f t="shared" si="6"/>
        <v>-516000</v>
      </c>
      <c r="AO39" s="301">
        <f t="shared" si="6"/>
        <v>-528000</v>
      </c>
      <c r="AP39" s="301">
        <f t="shared" si="6"/>
        <v>-540000</v>
      </c>
      <c r="AQ39" s="301">
        <f t="shared" si="6"/>
        <v>-552000</v>
      </c>
      <c r="AR39" s="301">
        <f t="shared" si="6"/>
        <v>-564000</v>
      </c>
      <c r="AS39" s="301">
        <f t="shared" si="6"/>
        <v>-576000</v>
      </c>
      <c r="AT39" s="301">
        <f t="shared" si="6"/>
        <v>-588000</v>
      </c>
      <c r="AU39" s="301">
        <f t="shared" si="6"/>
        <v>-600000</v>
      </c>
      <c r="AV39" s="301">
        <f t="shared" si="6"/>
        <v>-612000</v>
      </c>
      <c r="AW39" s="301">
        <f t="shared" si="6"/>
        <v>-624000</v>
      </c>
      <c r="AX39" s="301">
        <f t="shared" si="6"/>
        <v>-636000</v>
      </c>
      <c r="AY39" s="301">
        <f t="shared" si="6"/>
        <v>-648000</v>
      </c>
      <c r="AZ39" s="301">
        <f t="shared" si="6"/>
        <v>-660000</v>
      </c>
      <c r="BA39" s="301">
        <f t="shared" si="6"/>
        <v>-672000</v>
      </c>
      <c r="BB39" s="301">
        <f t="shared" si="6"/>
        <v>-684000</v>
      </c>
      <c r="BC39" s="301">
        <f t="shared" si="6"/>
        <v>-696000</v>
      </c>
      <c r="BD39" s="301">
        <f t="shared" si="6"/>
        <v>-708000</v>
      </c>
      <c r="BE39" s="301">
        <f t="shared" si="6"/>
        <v>-720000</v>
      </c>
      <c r="BF39" s="301">
        <f t="shared" si="6"/>
        <v>-732000</v>
      </c>
      <c r="BG39" s="301">
        <f t="shared" si="6"/>
        <v>-744000</v>
      </c>
      <c r="BH39" s="301">
        <f t="shared" si="6"/>
        <v>-756000</v>
      </c>
      <c r="BI39" s="301">
        <f t="shared" si="6"/>
        <v>-768000</v>
      </c>
    </row>
    <row r="40" spans="1:61" x14ac:dyDescent="0.25">
      <c r="A40" t="s">
        <v>396</v>
      </c>
      <c r="B40" s="301">
        <f>B38*$B$7*$B$8</f>
        <v>4800</v>
      </c>
      <c r="C40" s="301">
        <f t="shared" ref="C40:BI40" si="7">C38*$B$7*$B$8</f>
        <v>10560</v>
      </c>
      <c r="D40" s="301">
        <f t="shared" si="7"/>
        <v>16800</v>
      </c>
      <c r="E40" s="301">
        <f t="shared" si="7"/>
        <v>24000</v>
      </c>
      <c r="F40" s="301">
        <f t="shared" si="7"/>
        <v>32160</v>
      </c>
      <c r="G40" s="301">
        <f t="shared" si="7"/>
        <v>40800</v>
      </c>
      <c r="H40" s="301">
        <f t="shared" si="7"/>
        <v>50400</v>
      </c>
      <c r="I40" s="301">
        <f t="shared" si="7"/>
        <v>60480</v>
      </c>
      <c r="J40" s="301">
        <f t="shared" si="7"/>
        <v>71520</v>
      </c>
      <c r="K40" s="301">
        <f t="shared" si="7"/>
        <v>83040</v>
      </c>
      <c r="L40" s="301">
        <f t="shared" si="7"/>
        <v>95520</v>
      </c>
      <c r="M40" s="301">
        <f t="shared" si="7"/>
        <v>108480</v>
      </c>
      <c r="N40" s="301">
        <f t="shared" si="7"/>
        <v>121920</v>
      </c>
      <c r="O40" s="301">
        <f t="shared" si="7"/>
        <v>136320</v>
      </c>
      <c r="P40" s="301">
        <f t="shared" si="7"/>
        <v>151200</v>
      </c>
      <c r="Q40" s="301">
        <f t="shared" si="7"/>
        <v>166560</v>
      </c>
      <c r="R40" s="301">
        <f t="shared" si="7"/>
        <v>182400</v>
      </c>
      <c r="S40" s="301">
        <f t="shared" si="7"/>
        <v>198720</v>
      </c>
      <c r="T40" s="301">
        <f t="shared" si="7"/>
        <v>216000</v>
      </c>
      <c r="U40" s="301">
        <f t="shared" si="7"/>
        <v>233760</v>
      </c>
      <c r="V40" s="301">
        <f t="shared" si="7"/>
        <v>252000</v>
      </c>
      <c r="W40" s="301">
        <f t="shared" si="7"/>
        <v>270720</v>
      </c>
      <c r="X40" s="301">
        <f t="shared" si="7"/>
        <v>289920</v>
      </c>
      <c r="Y40" s="301">
        <f t="shared" si="7"/>
        <v>309600</v>
      </c>
      <c r="Z40" s="301">
        <f t="shared" si="7"/>
        <v>329760</v>
      </c>
      <c r="AA40" s="301">
        <f t="shared" si="7"/>
        <v>350400</v>
      </c>
      <c r="AB40" s="301">
        <f t="shared" si="7"/>
        <v>371520</v>
      </c>
      <c r="AC40" s="301">
        <f t="shared" si="7"/>
        <v>393120</v>
      </c>
      <c r="AD40" s="301">
        <f t="shared" si="7"/>
        <v>415200</v>
      </c>
      <c r="AE40" s="301">
        <f t="shared" si="7"/>
        <v>437280</v>
      </c>
      <c r="AF40" s="301">
        <f t="shared" si="7"/>
        <v>459840</v>
      </c>
      <c r="AG40" s="301">
        <f t="shared" si="7"/>
        <v>482880</v>
      </c>
      <c r="AH40" s="301">
        <f t="shared" si="7"/>
        <v>506400</v>
      </c>
      <c r="AI40" s="301">
        <f t="shared" si="7"/>
        <v>530400</v>
      </c>
      <c r="AJ40" s="301">
        <f t="shared" si="7"/>
        <v>554400</v>
      </c>
      <c r="AK40" s="301">
        <f t="shared" si="7"/>
        <v>578880</v>
      </c>
      <c r="AL40" s="301">
        <f t="shared" si="7"/>
        <v>603840</v>
      </c>
      <c r="AM40" s="301">
        <f t="shared" si="7"/>
        <v>629280</v>
      </c>
      <c r="AN40" s="301">
        <f t="shared" si="7"/>
        <v>654720</v>
      </c>
      <c r="AO40" s="301">
        <f t="shared" si="7"/>
        <v>680640</v>
      </c>
      <c r="AP40" s="301">
        <f t="shared" si="7"/>
        <v>707040</v>
      </c>
      <c r="AQ40" s="301">
        <f t="shared" si="7"/>
        <v>733440</v>
      </c>
      <c r="AR40" s="301">
        <f t="shared" si="7"/>
        <v>760320</v>
      </c>
      <c r="AS40" s="301">
        <f t="shared" si="7"/>
        <v>787200</v>
      </c>
      <c r="AT40" s="301">
        <f t="shared" si="7"/>
        <v>814560</v>
      </c>
      <c r="AU40" s="301">
        <f t="shared" si="7"/>
        <v>842400</v>
      </c>
      <c r="AV40" s="301">
        <f t="shared" si="7"/>
        <v>870240</v>
      </c>
      <c r="AW40" s="301">
        <f t="shared" si="7"/>
        <v>898560</v>
      </c>
      <c r="AX40" s="301">
        <f t="shared" si="7"/>
        <v>926880</v>
      </c>
      <c r="AY40" s="301">
        <f t="shared" si="7"/>
        <v>955680</v>
      </c>
      <c r="AZ40" s="301">
        <f t="shared" si="7"/>
        <v>984480</v>
      </c>
      <c r="BA40" s="301">
        <f t="shared" si="7"/>
        <v>1013760</v>
      </c>
      <c r="BB40" s="301">
        <f t="shared" si="7"/>
        <v>1043040</v>
      </c>
      <c r="BC40" s="301">
        <f t="shared" si="7"/>
        <v>1072800</v>
      </c>
      <c r="BD40" s="301">
        <f t="shared" si="7"/>
        <v>1102560</v>
      </c>
      <c r="BE40" s="301">
        <f t="shared" si="7"/>
        <v>1132800</v>
      </c>
      <c r="BF40" s="301">
        <f t="shared" si="7"/>
        <v>1163040</v>
      </c>
      <c r="BG40" s="301">
        <f t="shared" si="7"/>
        <v>1193280</v>
      </c>
      <c r="BH40" s="301">
        <f t="shared" si="7"/>
        <v>1224000</v>
      </c>
      <c r="BI40" s="301">
        <f t="shared" si="7"/>
        <v>1254720</v>
      </c>
    </row>
    <row r="41" spans="1:61" x14ac:dyDescent="0.25">
      <c r="A41" s="307" t="s">
        <v>389</v>
      </c>
      <c r="B41" s="312">
        <f t="shared" ref="B41:BI41" si="8">B39+B40</f>
        <v>-55200</v>
      </c>
      <c r="C41" s="312">
        <f t="shared" si="8"/>
        <v>-61440</v>
      </c>
      <c r="D41" s="312">
        <f t="shared" si="8"/>
        <v>-67200</v>
      </c>
      <c r="E41" s="312">
        <f t="shared" si="8"/>
        <v>-72000</v>
      </c>
      <c r="F41" s="312">
        <f t="shared" si="8"/>
        <v>-75840</v>
      </c>
      <c r="G41" s="312">
        <f t="shared" si="8"/>
        <v>-79200</v>
      </c>
      <c r="H41" s="312">
        <f t="shared" si="8"/>
        <v>-81600</v>
      </c>
      <c r="I41" s="312">
        <f t="shared" si="8"/>
        <v>-83520</v>
      </c>
      <c r="J41" s="312">
        <f t="shared" si="8"/>
        <v>-84480</v>
      </c>
      <c r="K41" s="312">
        <f t="shared" si="8"/>
        <v>-84960</v>
      </c>
      <c r="L41" s="312">
        <f t="shared" si="8"/>
        <v>-84480</v>
      </c>
      <c r="M41" s="312">
        <f t="shared" si="8"/>
        <v>-83520</v>
      </c>
      <c r="N41" s="312">
        <f t="shared" si="8"/>
        <v>-82080</v>
      </c>
      <c r="O41" s="312">
        <f t="shared" si="8"/>
        <v>-79680</v>
      </c>
      <c r="P41" s="312">
        <f t="shared" si="8"/>
        <v>-76800</v>
      </c>
      <c r="Q41" s="312">
        <f t="shared" si="8"/>
        <v>-73440</v>
      </c>
      <c r="R41" s="312">
        <f t="shared" si="8"/>
        <v>-69600</v>
      </c>
      <c r="S41" s="312">
        <f t="shared" si="8"/>
        <v>-65280</v>
      </c>
      <c r="T41" s="312">
        <f t="shared" si="8"/>
        <v>-60000</v>
      </c>
      <c r="U41" s="312">
        <f t="shared" si="8"/>
        <v>-54240</v>
      </c>
      <c r="V41" s="312">
        <f t="shared" si="8"/>
        <v>-48000</v>
      </c>
      <c r="W41" s="312">
        <f t="shared" si="8"/>
        <v>-41280</v>
      </c>
      <c r="X41" s="312">
        <f t="shared" si="8"/>
        <v>-34080</v>
      </c>
      <c r="Y41" s="312">
        <f t="shared" si="8"/>
        <v>-26400</v>
      </c>
      <c r="Z41" s="312">
        <f t="shared" si="8"/>
        <v>-18240</v>
      </c>
      <c r="AA41" s="312">
        <f t="shared" si="8"/>
        <v>-9600</v>
      </c>
      <c r="AB41" s="312">
        <f t="shared" si="8"/>
        <v>-480</v>
      </c>
      <c r="AC41" s="312">
        <f t="shared" si="8"/>
        <v>9120</v>
      </c>
      <c r="AD41" s="312">
        <f t="shared" si="8"/>
        <v>19200</v>
      </c>
      <c r="AE41" s="312">
        <f t="shared" si="8"/>
        <v>29280</v>
      </c>
      <c r="AF41" s="312">
        <f t="shared" si="8"/>
        <v>39840</v>
      </c>
      <c r="AG41" s="312">
        <f t="shared" si="8"/>
        <v>50880</v>
      </c>
      <c r="AH41" s="312">
        <f t="shared" si="8"/>
        <v>62400</v>
      </c>
      <c r="AI41" s="312">
        <f t="shared" si="8"/>
        <v>74400</v>
      </c>
      <c r="AJ41" s="312">
        <f t="shared" si="8"/>
        <v>86400</v>
      </c>
      <c r="AK41" s="312">
        <f t="shared" si="8"/>
        <v>98880</v>
      </c>
      <c r="AL41" s="312">
        <f t="shared" si="8"/>
        <v>111840</v>
      </c>
      <c r="AM41" s="312">
        <f t="shared" si="8"/>
        <v>125280</v>
      </c>
      <c r="AN41" s="312">
        <f t="shared" si="8"/>
        <v>138720</v>
      </c>
      <c r="AO41" s="312">
        <f t="shared" si="8"/>
        <v>152640</v>
      </c>
      <c r="AP41" s="312">
        <f t="shared" si="8"/>
        <v>167040</v>
      </c>
      <c r="AQ41" s="312">
        <f t="shared" si="8"/>
        <v>181440</v>
      </c>
      <c r="AR41" s="312">
        <f t="shared" si="8"/>
        <v>196320</v>
      </c>
      <c r="AS41" s="312">
        <f t="shared" si="8"/>
        <v>211200</v>
      </c>
      <c r="AT41" s="312">
        <f t="shared" si="8"/>
        <v>226560</v>
      </c>
      <c r="AU41" s="312">
        <f t="shared" si="8"/>
        <v>242400</v>
      </c>
      <c r="AV41" s="312">
        <f t="shared" si="8"/>
        <v>258240</v>
      </c>
      <c r="AW41" s="312">
        <f t="shared" si="8"/>
        <v>274560</v>
      </c>
      <c r="AX41" s="312">
        <f t="shared" si="8"/>
        <v>290880</v>
      </c>
      <c r="AY41" s="312">
        <f t="shared" si="8"/>
        <v>307680</v>
      </c>
      <c r="AZ41" s="312">
        <f t="shared" si="8"/>
        <v>324480</v>
      </c>
      <c r="BA41" s="312">
        <f t="shared" si="8"/>
        <v>341760</v>
      </c>
      <c r="BB41" s="312">
        <f t="shared" si="8"/>
        <v>359040</v>
      </c>
      <c r="BC41" s="312">
        <f t="shared" si="8"/>
        <v>376800</v>
      </c>
      <c r="BD41" s="312">
        <f t="shared" si="8"/>
        <v>394560</v>
      </c>
      <c r="BE41" s="312">
        <f t="shared" si="8"/>
        <v>412800</v>
      </c>
      <c r="BF41" s="312">
        <f t="shared" si="8"/>
        <v>431040</v>
      </c>
      <c r="BG41" s="312">
        <f t="shared" si="8"/>
        <v>449280</v>
      </c>
      <c r="BH41" s="312">
        <f t="shared" si="8"/>
        <v>468000</v>
      </c>
      <c r="BI41" s="312">
        <f t="shared" si="8"/>
        <v>486720</v>
      </c>
    </row>
    <row r="42" spans="1:61" ht="15.75" thickBot="1" x14ac:dyDescent="0.3">
      <c r="A42" s="309" t="s">
        <v>390</v>
      </c>
      <c r="B42" s="313">
        <f>B41</f>
        <v>-55200</v>
      </c>
      <c r="C42" s="313">
        <f t="shared" ref="C42:BI42" si="9">B42+C41</f>
        <v>-116640</v>
      </c>
      <c r="D42" s="313">
        <f t="shared" si="9"/>
        <v>-183840</v>
      </c>
      <c r="E42" s="313">
        <f t="shared" si="9"/>
        <v>-255840</v>
      </c>
      <c r="F42" s="313">
        <f t="shared" si="9"/>
        <v>-331680</v>
      </c>
      <c r="G42" s="313">
        <f t="shared" si="9"/>
        <v>-410880</v>
      </c>
      <c r="H42" s="313">
        <f t="shared" si="9"/>
        <v>-492480</v>
      </c>
      <c r="I42" s="313">
        <f t="shared" si="9"/>
        <v>-576000</v>
      </c>
      <c r="J42" s="313">
        <f t="shared" si="9"/>
        <v>-660480</v>
      </c>
      <c r="K42" s="313">
        <f t="shared" si="9"/>
        <v>-745440</v>
      </c>
      <c r="L42" s="313">
        <f t="shared" si="9"/>
        <v>-829920</v>
      </c>
      <c r="M42" s="313">
        <f t="shared" si="9"/>
        <v>-913440</v>
      </c>
      <c r="N42" s="313">
        <f t="shared" si="9"/>
        <v>-995520</v>
      </c>
      <c r="O42" s="313">
        <f t="shared" si="9"/>
        <v>-1075200</v>
      </c>
      <c r="P42" s="313">
        <f t="shared" si="9"/>
        <v>-1152000</v>
      </c>
      <c r="Q42" s="313">
        <f t="shared" si="9"/>
        <v>-1225440</v>
      </c>
      <c r="R42" s="313">
        <f t="shared" si="9"/>
        <v>-1295040</v>
      </c>
      <c r="S42" s="313">
        <f t="shared" si="9"/>
        <v>-1360320</v>
      </c>
      <c r="T42" s="313">
        <f t="shared" si="9"/>
        <v>-1420320</v>
      </c>
      <c r="U42" s="313">
        <f t="shared" si="9"/>
        <v>-1474560</v>
      </c>
      <c r="V42" s="313">
        <f t="shared" si="9"/>
        <v>-1522560</v>
      </c>
      <c r="W42" s="313">
        <f t="shared" si="9"/>
        <v>-1563840</v>
      </c>
      <c r="X42" s="313">
        <f t="shared" si="9"/>
        <v>-1597920</v>
      </c>
      <c r="Y42" s="313">
        <f t="shared" si="9"/>
        <v>-1624320</v>
      </c>
      <c r="Z42" s="313">
        <f t="shared" si="9"/>
        <v>-1642560</v>
      </c>
      <c r="AA42" s="313">
        <f t="shared" si="9"/>
        <v>-1652160</v>
      </c>
      <c r="AB42" s="313">
        <f t="shared" si="9"/>
        <v>-1652640</v>
      </c>
      <c r="AC42" s="313">
        <f t="shared" si="9"/>
        <v>-1643520</v>
      </c>
      <c r="AD42" s="313">
        <f t="shared" si="9"/>
        <v>-1624320</v>
      </c>
      <c r="AE42" s="313">
        <f t="shared" si="9"/>
        <v>-1595040</v>
      </c>
      <c r="AF42" s="313">
        <f t="shared" si="9"/>
        <v>-1555200</v>
      </c>
      <c r="AG42" s="313">
        <f t="shared" si="9"/>
        <v>-1504320</v>
      </c>
      <c r="AH42" s="313">
        <f t="shared" si="9"/>
        <v>-1441920</v>
      </c>
      <c r="AI42" s="313">
        <f t="shared" si="9"/>
        <v>-1367520</v>
      </c>
      <c r="AJ42" s="313">
        <f t="shared" si="9"/>
        <v>-1281120</v>
      </c>
      <c r="AK42" s="313">
        <f t="shared" si="9"/>
        <v>-1182240</v>
      </c>
      <c r="AL42" s="313">
        <f t="shared" si="9"/>
        <v>-1070400</v>
      </c>
      <c r="AM42" s="313">
        <f t="shared" si="9"/>
        <v>-945120</v>
      </c>
      <c r="AN42" s="313">
        <f t="shared" si="9"/>
        <v>-806400</v>
      </c>
      <c r="AO42" s="313">
        <f t="shared" si="9"/>
        <v>-653760</v>
      </c>
      <c r="AP42" s="313">
        <f t="shared" si="9"/>
        <v>-486720</v>
      </c>
      <c r="AQ42" s="313">
        <f t="shared" si="9"/>
        <v>-305280</v>
      </c>
      <c r="AR42" s="313">
        <f t="shared" si="9"/>
        <v>-108960</v>
      </c>
      <c r="AS42" s="313">
        <f t="shared" si="9"/>
        <v>102240</v>
      </c>
      <c r="AT42" s="313">
        <f t="shared" si="9"/>
        <v>328800</v>
      </c>
      <c r="AU42" s="313">
        <f t="shared" si="9"/>
        <v>571200</v>
      </c>
      <c r="AV42" s="313">
        <f t="shared" si="9"/>
        <v>829440</v>
      </c>
      <c r="AW42" s="313">
        <f t="shared" si="9"/>
        <v>1104000</v>
      </c>
      <c r="AX42" s="313">
        <f t="shared" si="9"/>
        <v>1394880</v>
      </c>
      <c r="AY42" s="313">
        <f t="shared" si="9"/>
        <v>1702560</v>
      </c>
      <c r="AZ42" s="313">
        <f t="shared" si="9"/>
        <v>2027040</v>
      </c>
      <c r="BA42" s="313">
        <f t="shared" si="9"/>
        <v>2368800</v>
      </c>
      <c r="BB42" s="313">
        <f t="shared" si="9"/>
        <v>2727840</v>
      </c>
      <c r="BC42" s="313">
        <f t="shared" si="9"/>
        <v>3104640</v>
      </c>
      <c r="BD42" s="313">
        <f t="shared" si="9"/>
        <v>3499200</v>
      </c>
      <c r="BE42" s="313">
        <f t="shared" si="9"/>
        <v>3912000</v>
      </c>
      <c r="BF42" s="313">
        <f t="shared" si="9"/>
        <v>4343040</v>
      </c>
      <c r="BG42" s="313">
        <f t="shared" si="9"/>
        <v>4792320</v>
      </c>
      <c r="BH42" s="313">
        <f t="shared" si="9"/>
        <v>5260320</v>
      </c>
      <c r="BI42" s="313">
        <f t="shared" si="9"/>
        <v>5747040</v>
      </c>
    </row>
    <row r="43" spans="1:61" ht="15.75" thickTop="1" x14ac:dyDescent="0.25"/>
    <row r="69" spans="1:61" ht="15.75" thickBot="1" x14ac:dyDescent="0.3">
      <c r="A69" s="314" t="s">
        <v>390</v>
      </c>
      <c r="B69" s="305" t="s">
        <v>327</v>
      </c>
      <c r="C69" s="305" t="s">
        <v>328</v>
      </c>
      <c r="D69" s="305" t="s">
        <v>329</v>
      </c>
      <c r="E69" s="305" t="s">
        <v>330</v>
      </c>
      <c r="F69" s="305" t="s">
        <v>331</v>
      </c>
      <c r="G69" s="305" t="s">
        <v>332</v>
      </c>
      <c r="H69" s="305" t="s">
        <v>333</v>
      </c>
      <c r="I69" s="305" t="s">
        <v>334</v>
      </c>
      <c r="J69" s="305" t="s">
        <v>335</v>
      </c>
      <c r="K69" s="305" t="s">
        <v>336</v>
      </c>
      <c r="L69" s="305" t="s">
        <v>337</v>
      </c>
      <c r="M69" s="305" t="s">
        <v>338</v>
      </c>
      <c r="N69" s="305" t="s">
        <v>339</v>
      </c>
      <c r="O69" s="305" t="s">
        <v>340</v>
      </c>
      <c r="P69" s="305" t="s">
        <v>341</v>
      </c>
      <c r="Q69" s="305" t="s">
        <v>342</v>
      </c>
      <c r="R69" s="305" t="s">
        <v>343</v>
      </c>
      <c r="S69" s="305" t="s">
        <v>344</v>
      </c>
      <c r="T69" s="305" t="s">
        <v>345</v>
      </c>
      <c r="U69" s="305" t="s">
        <v>346</v>
      </c>
      <c r="V69" s="305" t="s">
        <v>347</v>
      </c>
      <c r="W69" s="305" t="s">
        <v>348</v>
      </c>
      <c r="X69" s="305" t="s">
        <v>349</v>
      </c>
      <c r="Y69" s="305" t="s">
        <v>350</v>
      </c>
      <c r="Z69" s="305" t="s">
        <v>351</v>
      </c>
      <c r="AA69" s="305" t="s">
        <v>352</v>
      </c>
      <c r="AB69" s="305" t="s">
        <v>353</v>
      </c>
      <c r="AC69" s="305" t="s">
        <v>354</v>
      </c>
      <c r="AD69" s="305" t="s">
        <v>355</v>
      </c>
      <c r="AE69" s="305" t="s">
        <v>356</v>
      </c>
      <c r="AF69" s="305" t="s">
        <v>357</v>
      </c>
      <c r="AG69" s="305" t="s">
        <v>358</v>
      </c>
      <c r="AH69" s="305" t="s">
        <v>359</v>
      </c>
      <c r="AI69" s="305" t="s">
        <v>360</v>
      </c>
      <c r="AJ69" s="305" t="s">
        <v>361</v>
      </c>
      <c r="AK69" s="305" t="s">
        <v>362</v>
      </c>
      <c r="AL69" s="305" t="s">
        <v>363</v>
      </c>
      <c r="AM69" s="305" t="s">
        <v>364</v>
      </c>
      <c r="AN69" s="305" t="s">
        <v>365</v>
      </c>
      <c r="AO69" s="305" t="s">
        <v>366</v>
      </c>
      <c r="AP69" s="305" t="s">
        <v>367</v>
      </c>
      <c r="AQ69" s="305" t="s">
        <v>368</v>
      </c>
      <c r="AR69" s="305" t="s">
        <v>369</v>
      </c>
      <c r="AS69" s="305" t="s">
        <v>370</v>
      </c>
      <c r="AT69" s="305" t="s">
        <v>371</v>
      </c>
      <c r="AU69" s="305" t="s">
        <v>372</v>
      </c>
      <c r="AV69" s="305" t="s">
        <v>373</v>
      </c>
      <c r="AW69" s="305" t="s">
        <v>374</v>
      </c>
      <c r="AX69" s="305" t="s">
        <v>375</v>
      </c>
      <c r="AY69" s="305" t="s">
        <v>376</v>
      </c>
      <c r="AZ69" s="305" t="s">
        <v>377</v>
      </c>
      <c r="BA69" s="305" t="s">
        <v>378</v>
      </c>
      <c r="BB69" s="305" t="s">
        <v>379</v>
      </c>
      <c r="BC69" s="305" t="s">
        <v>380</v>
      </c>
      <c r="BD69" s="305" t="s">
        <v>381</v>
      </c>
      <c r="BE69" s="305" t="s">
        <v>382</v>
      </c>
      <c r="BF69" s="305" t="s">
        <v>383</v>
      </c>
      <c r="BG69" s="305" t="s">
        <v>384</v>
      </c>
      <c r="BH69" s="305" t="s">
        <v>385</v>
      </c>
      <c r="BI69" s="305" t="s">
        <v>386</v>
      </c>
    </row>
    <row r="70" spans="1:61" ht="15.75" thickBot="1" x14ac:dyDescent="0.3">
      <c r="A70" s="315" t="s">
        <v>397</v>
      </c>
      <c r="B70" s="306">
        <v>-55200</v>
      </c>
      <c r="C70" s="306">
        <v>-116640</v>
      </c>
      <c r="D70" s="306">
        <v>-183840</v>
      </c>
      <c r="E70" s="306">
        <v>-255840</v>
      </c>
      <c r="F70" s="306">
        <v>-331680</v>
      </c>
      <c r="G70" s="306">
        <v>-410880</v>
      </c>
      <c r="H70" s="306">
        <v>-492480</v>
      </c>
      <c r="I70" s="306">
        <v>-576000</v>
      </c>
      <c r="J70" s="306">
        <v>-660480</v>
      </c>
      <c r="K70" s="306">
        <v>-745440</v>
      </c>
      <c r="L70" s="306">
        <v>-829920</v>
      </c>
      <c r="M70" s="306">
        <v>-913440</v>
      </c>
      <c r="N70" s="306">
        <v>-995520</v>
      </c>
      <c r="O70" s="306">
        <v>-1075200</v>
      </c>
      <c r="P70" s="306">
        <v>-1152000</v>
      </c>
      <c r="Q70" s="306">
        <v>-1225440</v>
      </c>
      <c r="R70" s="306">
        <v>-1295040</v>
      </c>
      <c r="S70" s="306">
        <v>-1360320</v>
      </c>
      <c r="T70" s="306">
        <v>-1420320</v>
      </c>
      <c r="U70" s="306">
        <v>-1474560</v>
      </c>
      <c r="V70" s="306">
        <v>-1522560</v>
      </c>
      <c r="W70" s="306">
        <v>-1563840</v>
      </c>
      <c r="X70" s="306">
        <v>-1597920</v>
      </c>
      <c r="Y70" s="306">
        <v>-1624320</v>
      </c>
      <c r="Z70" s="306">
        <v>-1642560</v>
      </c>
      <c r="AA70" s="306">
        <v>-1652160</v>
      </c>
      <c r="AB70" s="306">
        <v>-1652640</v>
      </c>
      <c r="AC70" s="306">
        <v>-1643520</v>
      </c>
      <c r="AD70" s="306">
        <v>-1624320</v>
      </c>
      <c r="AE70" s="306">
        <v>-1595040</v>
      </c>
      <c r="AF70" s="306">
        <v>-1555200</v>
      </c>
      <c r="AG70" s="306">
        <v>-1504320</v>
      </c>
      <c r="AH70" s="306">
        <v>-1441920</v>
      </c>
      <c r="AI70" s="306">
        <v>-1367520</v>
      </c>
      <c r="AJ70" s="306">
        <v>-1281120</v>
      </c>
      <c r="AK70" s="306">
        <v>-1182240</v>
      </c>
      <c r="AL70" s="306">
        <v>-1070400</v>
      </c>
      <c r="AM70" s="306">
        <v>-945120</v>
      </c>
      <c r="AN70" s="306">
        <v>-806400</v>
      </c>
      <c r="AO70" s="306">
        <v>-653760</v>
      </c>
      <c r="AP70" s="306">
        <v>-486720</v>
      </c>
      <c r="AQ70" s="306">
        <v>-305280</v>
      </c>
      <c r="AR70" s="306">
        <v>-108960</v>
      </c>
      <c r="AS70" s="306">
        <v>102240</v>
      </c>
      <c r="AT70" s="306">
        <v>328800</v>
      </c>
      <c r="AU70" s="306">
        <v>571200</v>
      </c>
      <c r="AV70" s="306">
        <v>829440</v>
      </c>
      <c r="AW70" s="306">
        <v>1104000</v>
      </c>
      <c r="AX70" s="306">
        <v>1394880</v>
      </c>
      <c r="AY70" s="306">
        <v>1702560</v>
      </c>
      <c r="AZ70" s="306">
        <v>2027040</v>
      </c>
      <c r="BA70" s="306">
        <v>2368800</v>
      </c>
      <c r="BB70" s="306">
        <v>2727840</v>
      </c>
      <c r="BC70" s="306">
        <v>3104640</v>
      </c>
      <c r="BD70" s="306">
        <v>3499200</v>
      </c>
      <c r="BE70" s="306">
        <v>3912000</v>
      </c>
      <c r="BF70" s="306">
        <v>4343040</v>
      </c>
      <c r="BG70" s="306">
        <v>4792320</v>
      </c>
      <c r="BH70" s="306">
        <v>5260320</v>
      </c>
      <c r="BI70" s="306">
        <v>5747040</v>
      </c>
    </row>
    <row r="71" spans="1:61" ht="16.5" thickTop="1" thickBot="1" x14ac:dyDescent="0.3">
      <c r="A71" s="315" t="s">
        <v>398</v>
      </c>
      <c r="B71" s="306">
        <v>-55200</v>
      </c>
      <c r="C71" s="306">
        <v>-133200</v>
      </c>
      <c r="D71" s="306">
        <v>-232080</v>
      </c>
      <c r="E71" s="306">
        <v>-349440</v>
      </c>
      <c r="F71" s="306">
        <v>-483360</v>
      </c>
      <c r="G71" s="306">
        <v>-631440</v>
      </c>
      <c r="H71" s="306">
        <v>-791760</v>
      </c>
      <c r="I71" s="306">
        <v>-962400</v>
      </c>
      <c r="J71" s="306">
        <v>-1141440</v>
      </c>
      <c r="K71" s="306">
        <v>-1326960</v>
      </c>
      <c r="L71" s="306">
        <v>-1517520</v>
      </c>
      <c r="M71" s="306">
        <v>-1711200</v>
      </c>
      <c r="N71" s="306">
        <v>-1906080</v>
      </c>
      <c r="O71" s="306">
        <v>-2100720</v>
      </c>
      <c r="P71" s="306">
        <v>-2293200</v>
      </c>
      <c r="Q71" s="306">
        <v>-2482080</v>
      </c>
      <c r="R71" s="306">
        <v>-2665920</v>
      </c>
      <c r="S71" s="306">
        <v>-2843280</v>
      </c>
      <c r="T71" s="306">
        <v>-3012240</v>
      </c>
      <c r="U71" s="306">
        <v>-3171360</v>
      </c>
      <c r="V71" s="306">
        <v>-3319680</v>
      </c>
      <c r="W71" s="306">
        <v>-3455760</v>
      </c>
      <c r="X71" s="306">
        <v>-3578160</v>
      </c>
      <c r="Y71" s="306">
        <v>-3685440</v>
      </c>
      <c r="Z71" s="306">
        <v>-3776160</v>
      </c>
      <c r="AA71" s="306">
        <v>-3849360</v>
      </c>
      <c r="AB71" s="306">
        <v>-3903600</v>
      </c>
      <c r="AC71" s="306">
        <v>-3937920</v>
      </c>
      <c r="AD71" s="306">
        <v>-3951360</v>
      </c>
      <c r="AE71" s="306">
        <v>-3942480</v>
      </c>
      <c r="AF71" s="306">
        <v>-3910320</v>
      </c>
      <c r="AG71" s="306">
        <v>-3853920</v>
      </c>
      <c r="AH71" s="306">
        <v>-3772320</v>
      </c>
      <c r="AI71" s="306">
        <v>-3664080</v>
      </c>
      <c r="AJ71" s="306">
        <v>-3528240</v>
      </c>
      <c r="AK71" s="306">
        <v>-3363840</v>
      </c>
      <c r="AL71" s="306">
        <v>-3169920</v>
      </c>
      <c r="AM71" s="306">
        <v>-2945520</v>
      </c>
      <c r="AN71" s="306">
        <v>-2690160</v>
      </c>
      <c r="AO71" s="306">
        <v>-2402880</v>
      </c>
      <c r="AP71" s="306">
        <v>-2082720</v>
      </c>
      <c r="AQ71" s="306">
        <v>-1728720</v>
      </c>
      <c r="AR71" s="306">
        <v>-1340400</v>
      </c>
      <c r="AS71" s="306">
        <v>-916800</v>
      </c>
      <c r="AT71" s="306">
        <v>-456960</v>
      </c>
      <c r="AU71" s="306">
        <v>39600</v>
      </c>
      <c r="AV71" s="306">
        <v>573840</v>
      </c>
      <c r="AW71" s="306">
        <v>1146240</v>
      </c>
      <c r="AX71" s="306">
        <v>1757760</v>
      </c>
      <c r="AY71" s="306">
        <v>2408880</v>
      </c>
      <c r="AZ71" s="306">
        <v>3100080</v>
      </c>
      <c r="BA71" s="306">
        <v>3832320</v>
      </c>
      <c r="BB71" s="306">
        <v>4606080</v>
      </c>
      <c r="BC71" s="306">
        <v>5421840</v>
      </c>
      <c r="BD71" s="306">
        <v>6280560</v>
      </c>
      <c r="BE71" s="306">
        <v>7182720</v>
      </c>
      <c r="BF71" s="306">
        <v>8128800</v>
      </c>
      <c r="BG71" s="306">
        <v>9119280</v>
      </c>
      <c r="BH71" s="306">
        <v>10154640</v>
      </c>
      <c r="BI71" s="306">
        <v>11235360</v>
      </c>
    </row>
    <row r="72" spans="1:61" ht="16.5" thickTop="1" thickBot="1" x14ac:dyDescent="0.3">
      <c r="A72" s="315" t="s">
        <v>399</v>
      </c>
      <c r="B72" s="306">
        <v>-55200</v>
      </c>
      <c r="C72" s="306">
        <v>-160800</v>
      </c>
      <c r="D72" s="306">
        <v>-312480</v>
      </c>
      <c r="E72" s="306">
        <v>-505440</v>
      </c>
      <c r="F72" s="306">
        <v>-735360</v>
      </c>
      <c r="G72" s="306">
        <v>-998400</v>
      </c>
      <c r="H72" s="306">
        <v>-1290240</v>
      </c>
      <c r="I72" s="306">
        <v>-1607040</v>
      </c>
      <c r="J72" s="306">
        <v>-1944960</v>
      </c>
      <c r="K72" s="306">
        <v>-2300160</v>
      </c>
      <c r="L72" s="306">
        <v>-2668800</v>
      </c>
      <c r="M72" s="306">
        <v>-3047040</v>
      </c>
      <c r="N72" s="306">
        <v>-3431520</v>
      </c>
      <c r="O72" s="306">
        <v>-3818880</v>
      </c>
      <c r="P72" s="306">
        <v>-4205760</v>
      </c>
      <c r="Q72" s="306">
        <v>-4588800</v>
      </c>
      <c r="R72" s="306">
        <v>-4964640</v>
      </c>
      <c r="S72" s="306">
        <v>-5330400</v>
      </c>
      <c r="T72" s="306">
        <v>-5682720</v>
      </c>
      <c r="U72" s="306">
        <v>-6018720</v>
      </c>
      <c r="V72" s="306">
        <v>-6335520</v>
      </c>
      <c r="W72" s="306">
        <v>-6630240</v>
      </c>
      <c r="X72" s="306">
        <v>-6900000</v>
      </c>
      <c r="Y72" s="306">
        <v>-7142400</v>
      </c>
      <c r="Z72" s="306">
        <v>-7354560</v>
      </c>
      <c r="AA72" s="306">
        <v>-7534080</v>
      </c>
      <c r="AB72" s="306">
        <v>-7678560</v>
      </c>
      <c r="AC72" s="306">
        <v>-7785600</v>
      </c>
      <c r="AD72" s="306">
        <v>-7852800</v>
      </c>
      <c r="AE72" s="306">
        <v>-7877760</v>
      </c>
      <c r="AF72" s="306">
        <v>-7858080</v>
      </c>
      <c r="AG72" s="306">
        <v>-7791840</v>
      </c>
      <c r="AH72" s="306">
        <v>-7676640</v>
      </c>
      <c r="AI72" s="306">
        <v>-7510560</v>
      </c>
      <c r="AJ72" s="306">
        <v>-7291680</v>
      </c>
      <c r="AK72" s="306">
        <v>-7018080</v>
      </c>
      <c r="AL72" s="306">
        <v>-6687840</v>
      </c>
      <c r="AM72" s="306">
        <v>-6299040</v>
      </c>
      <c r="AN72" s="306">
        <v>-5849760</v>
      </c>
      <c r="AO72" s="306">
        <v>-5338080</v>
      </c>
      <c r="AP72" s="306">
        <v>-4762560</v>
      </c>
      <c r="AQ72" s="306">
        <v>-4121280</v>
      </c>
      <c r="AR72" s="306">
        <v>-3412800</v>
      </c>
      <c r="AS72" s="306">
        <v>-2635200</v>
      </c>
      <c r="AT72" s="306">
        <v>-1787040</v>
      </c>
      <c r="AU72" s="306">
        <v>-866880</v>
      </c>
      <c r="AV72" s="306">
        <v>126720</v>
      </c>
      <c r="AW72" s="306">
        <v>1195200</v>
      </c>
      <c r="AX72" s="306">
        <v>2340000</v>
      </c>
      <c r="AY72" s="306">
        <v>3562560</v>
      </c>
      <c r="AZ72" s="306">
        <v>4864320</v>
      </c>
      <c r="BA72" s="306">
        <v>6246720</v>
      </c>
      <c r="BB72" s="306">
        <v>7710720</v>
      </c>
      <c r="BC72" s="306">
        <v>9257760</v>
      </c>
      <c r="BD72" s="306">
        <v>10889280</v>
      </c>
      <c r="BE72" s="306">
        <v>12606240</v>
      </c>
      <c r="BF72" s="306">
        <v>14410080</v>
      </c>
      <c r="BG72" s="306">
        <v>16301760</v>
      </c>
      <c r="BH72" s="306">
        <v>18282240</v>
      </c>
      <c r="BI72" s="306">
        <v>20352480</v>
      </c>
    </row>
    <row r="73" spans="1:61" ht="15.75" thickTop="1" x14ac:dyDescent="0.25"/>
    <row r="106" spans="1:61" x14ac:dyDescent="0.25">
      <c r="A106" t="s">
        <v>390</v>
      </c>
      <c r="B106" s="305" t="s">
        <v>327</v>
      </c>
      <c r="C106" s="305" t="s">
        <v>328</v>
      </c>
      <c r="D106" s="305" t="s">
        <v>329</v>
      </c>
      <c r="E106" s="305" t="s">
        <v>330</v>
      </c>
      <c r="F106" s="305" t="s">
        <v>331</v>
      </c>
      <c r="G106" s="305" t="s">
        <v>332</v>
      </c>
      <c r="H106" s="305" t="s">
        <v>333</v>
      </c>
      <c r="I106" s="305" t="s">
        <v>334</v>
      </c>
      <c r="J106" s="305" t="s">
        <v>335</v>
      </c>
      <c r="K106" s="305" t="s">
        <v>336</v>
      </c>
      <c r="L106" s="305" t="s">
        <v>337</v>
      </c>
      <c r="M106" s="305" t="s">
        <v>338</v>
      </c>
      <c r="N106" s="305" t="s">
        <v>339</v>
      </c>
      <c r="O106" s="305" t="s">
        <v>340</v>
      </c>
      <c r="P106" s="305" t="s">
        <v>341</v>
      </c>
      <c r="Q106" s="305" t="s">
        <v>342</v>
      </c>
      <c r="R106" s="305" t="s">
        <v>343</v>
      </c>
      <c r="S106" s="305" t="s">
        <v>344</v>
      </c>
      <c r="T106" s="305" t="s">
        <v>345</v>
      </c>
      <c r="U106" s="305" t="s">
        <v>346</v>
      </c>
      <c r="V106" s="305" t="s">
        <v>347</v>
      </c>
      <c r="W106" s="305" t="s">
        <v>348</v>
      </c>
      <c r="X106" s="305" t="s">
        <v>349</v>
      </c>
      <c r="Y106" s="305" t="s">
        <v>350</v>
      </c>
      <c r="Z106" s="305" t="s">
        <v>351</v>
      </c>
      <c r="AA106" s="305" t="s">
        <v>352</v>
      </c>
      <c r="AB106" s="305" t="s">
        <v>353</v>
      </c>
      <c r="AC106" s="305" t="s">
        <v>354</v>
      </c>
      <c r="AD106" s="305" t="s">
        <v>355</v>
      </c>
      <c r="AE106" s="305" t="s">
        <v>356</v>
      </c>
      <c r="AF106" s="305" t="s">
        <v>357</v>
      </c>
      <c r="AG106" s="305" t="s">
        <v>358</v>
      </c>
      <c r="AH106" s="305" t="s">
        <v>359</v>
      </c>
      <c r="AI106" s="305" t="s">
        <v>360</v>
      </c>
      <c r="AJ106" s="305" t="s">
        <v>361</v>
      </c>
      <c r="AK106" s="305" t="s">
        <v>362</v>
      </c>
      <c r="AL106" s="305" t="s">
        <v>363</v>
      </c>
      <c r="AM106" s="305" t="s">
        <v>364</v>
      </c>
      <c r="AN106" s="305" t="s">
        <v>365</v>
      </c>
      <c r="AO106" s="305" t="s">
        <v>366</v>
      </c>
      <c r="AP106" s="305" t="s">
        <v>367</v>
      </c>
      <c r="AQ106" s="305" t="s">
        <v>368</v>
      </c>
      <c r="AR106" s="305" t="s">
        <v>369</v>
      </c>
      <c r="AS106" s="305" t="s">
        <v>370</v>
      </c>
      <c r="AT106" s="305" t="s">
        <v>371</v>
      </c>
      <c r="AU106" s="305" t="s">
        <v>372</v>
      </c>
      <c r="AV106" s="305" t="s">
        <v>373</v>
      </c>
      <c r="AW106" s="305" t="s">
        <v>374</v>
      </c>
      <c r="AX106" s="305" t="s">
        <v>375</v>
      </c>
      <c r="AY106" s="305" t="s">
        <v>376</v>
      </c>
      <c r="AZ106" s="305" t="s">
        <v>377</v>
      </c>
      <c r="BA106" s="305" t="s">
        <v>378</v>
      </c>
      <c r="BB106" s="305" t="s">
        <v>379</v>
      </c>
      <c r="BC106" s="305" t="s">
        <v>380</v>
      </c>
      <c r="BD106" s="305" t="s">
        <v>381</v>
      </c>
      <c r="BE106" s="305" t="s">
        <v>382</v>
      </c>
      <c r="BF106" s="305" t="s">
        <v>383</v>
      </c>
      <c r="BG106" s="305" t="s">
        <v>384</v>
      </c>
      <c r="BH106" s="305" t="s">
        <v>385</v>
      </c>
      <c r="BI106" s="305" t="s">
        <v>386</v>
      </c>
    </row>
    <row r="107" spans="1:61" x14ac:dyDescent="0.25">
      <c r="A107" s="306" t="s">
        <v>400</v>
      </c>
      <c r="B107" s="306">
        <v>-50400</v>
      </c>
      <c r="C107" s="306">
        <v>-102240</v>
      </c>
      <c r="D107" s="306">
        <v>-153600</v>
      </c>
      <c r="E107" s="306">
        <v>-203520</v>
      </c>
      <c r="F107" s="306">
        <v>-250080</v>
      </c>
      <c r="G107" s="306">
        <v>-292320</v>
      </c>
      <c r="H107" s="306">
        <v>-329280</v>
      </c>
      <c r="I107" s="306">
        <v>-360000</v>
      </c>
      <c r="J107" s="306">
        <v>-383520</v>
      </c>
      <c r="K107" s="306">
        <v>-398880</v>
      </c>
      <c r="L107" s="306">
        <v>-405120</v>
      </c>
      <c r="M107" s="306">
        <v>-401280</v>
      </c>
      <c r="N107" s="306">
        <v>-386400</v>
      </c>
      <c r="O107" s="306">
        <v>-359520</v>
      </c>
      <c r="P107" s="306">
        <v>-320640</v>
      </c>
      <c r="Q107" s="306">
        <v>-268800</v>
      </c>
      <c r="R107" s="306">
        <v>-203040</v>
      </c>
      <c r="S107" s="306">
        <v>-123360</v>
      </c>
      <c r="T107" s="306">
        <v>-28800</v>
      </c>
      <c r="U107" s="306">
        <v>81600</v>
      </c>
      <c r="V107" s="306">
        <v>207840</v>
      </c>
      <c r="W107" s="306">
        <v>350880</v>
      </c>
      <c r="X107" s="306">
        <v>510720</v>
      </c>
      <c r="Y107" s="306">
        <v>688320</v>
      </c>
      <c r="Z107" s="306">
        <v>883680</v>
      </c>
      <c r="AA107" s="306">
        <v>1097760</v>
      </c>
      <c r="AB107" s="306">
        <v>1330560</v>
      </c>
      <c r="AC107" s="306">
        <v>1582080</v>
      </c>
      <c r="AD107" s="306">
        <v>1853280</v>
      </c>
      <c r="AE107" s="306">
        <v>2144160</v>
      </c>
      <c r="AF107" s="306">
        <v>2455680</v>
      </c>
      <c r="AG107" s="306">
        <v>2787840</v>
      </c>
      <c r="AH107" s="306">
        <v>3140640</v>
      </c>
      <c r="AI107" s="306">
        <v>3514080</v>
      </c>
      <c r="AJ107" s="306">
        <v>3909120</v>
      </c>
      <c r="AK107" s="306">
        <v>4325760</v>
      </c>
      <c r="AL107" s="306">
        <v>4764000</v>
      </c>
      <c r="AM107" s="306">
        <v>5224800</v>
      </c>
      <c r="AN107" s="306">
        <v>5708160</v>
      </c>
      <c r="AO107" s="306">
        <v>6214080</v>
      </c>
      <c r="AP107" s="306">
        <v>6742560</v>
      </c>
      <c r="AQ107" s="306">
        <v>7293600</v>
      </c>
      <c r="AR107" s="306">
        <v>7868160</v>
      </c>
      <c r="AS107" s="306">
        <v>8466240</v>
      </c>
      <c r="AT107" s="306">
        <v>9087840</v>
      </c>
      <c r="AU107" s="306">
        <v>9732960</v>
      </c>
      <c r="AV107" s="306">
        <v>10401600</v>
      </c>
      <c r="AW107" s="306">
        <v>11093760</v>
      </c>
      <c r="AX107" s="306">
        <v>11809440</v>
      </c>
      <c r="AY107" s="306">
        <v>12549600</v>
      </c>
      <c r="AZ107" s="306">
        <v>13314240</v>
      </c>
      <c r="BA107" s="306">
        <v>14103360</v>
      </c>
      <c r="BB107" s="306">
        <v>14916960</v>
      </c>
      <c r="BC107" s="306">
        <v>15755040</v>
      </c>
      <c r="BD107" s="306">
        <v>16617600</v>
      </c>
      <c r="BE107" s="306">
        <v>17504640</v>
      </c>
      <c r="BF107" s="306">
        <v>18416160</v>
      </c>
      <c r="BG107" s="306">
        <v>19352160</v>
      </c>
      <c r="BH107" s="306">
        <v>20312640</v>
      </c>
      <c r="BI107" s="306">
        <v>21298560</v>
      </c>
    </row>
    <row r="108" spans="1:61" x14ac:dyDescent="0.25">
      <c r="A108" s="306" t="s">
        <v>401</v>
      </c>
      <c r="B108" s="306">
        <v>-55200</v>
      </c>
      <c r="C108" s="306">
        <v>-116640</v>
      </c>
      <c r="D108" s="306">
        <v>-183840</v>
      </c>
      <c r="E108" s="306">
        <v>-255840</v>
      </c>
      <c r="F108" s="306">
        <v>-331680</v>
      </c>
      <c r="G108" s="306">
        <v>-410880</v>
      </c>
      <c r="H108" s="306">
        <v>-492480</v>
      </c>
      <c r="I108" s="306">
        <v>-576000</v>
      </c>
      <c r="J108" s="306">
        <v>-660480</v>
      </c>
      <c r="K108" s="306">
        <v>-745440</v>
      </c>
      <c r="L108" s="306">
        <v>-829920</v>
      </c>
      <c r="M108" s="306">
        <v>-913440</v>
      </c>
      <c r="N108" s="306">
        <v>-995520</v>
      </c>
      <c r="O108" s="306">
        <v>-1075200</v>
      </c>
      <c r="P108" s="306">
        <v>-1152000</v>
      </c>
      <c r="Q108" s="306">
        <v>-1225440</v>
      </c>
      <c r="R108" s="306">
        <v>-1295040</v>
      </c>
      <c r="S108" s="306">
        <v>-1360320</v>
      </c>
      <c r="T108" s="306">
        <v>-1420320</v>
      </c>
      <c r="U108" s="306">
        <v>-1474560</v>
      </c>
      <c r="V108" s="306">
        <v>-1522560</v>
      </c>
      <c r="W108" s="306">
        <v>-1563840</v>
      </c>
      <c r="X108" s="306">
        <v>-1597920</v>
      </c>
      <c r="Y108" s="306">
        <v>-1624320</v>
      </c>
      <c r="Z108" s="306">
        <v>-1642560</v>
      </c>
      <c r="AA108" s="306">
        <v>-1652160</v>
      </c>
      <c r="AB108" s="306">
        <v>-1652640</v>
      </c>
      <c r="AC108" s="306">
        <v>-1643520</v>
      </c>
      <c r="AD108" s="306">
        <v>-1624320</v>
      </c>
      <c r="AE108" s="306">
        <v>-1595040</v>
      </c>
      <c r="AF108" s="306">
        <v>-1555200</v>
      </c>
      <c r="AG108" s="306">
        <v>-1504320</v>
      </c>
      <c r="AH108" s="306">
        <v>-1441920</v>
      </c>
      <c r="AI108" s="306">
        <v>-1367520</v>
      </c>
      <c r="AJ108" s="306">
        <v>-1281120</v>
      </c>
      <c r="AK108" s="306">
        <v>-1182240</v>
      </c>
      <c r="AL108" s="306">
        <v>-1070400</v>
      </c>
      <c r="AM108" s="306">
        <v>-945120</v>
      </c>
      <c r="AN108" s="306">
        <v>-806400</v>
      </c>
      <c r="AO108" s="306">
        <v>-653760</v>
      </c>
      <c r="AP108" s="306">
        <v>-486720</v>
      </c>
      <c r="AQ108" s="306">
        <v>-305280</v>
      </c>
      <c r="AR108" s="306">
        <v>-108960</v>
      </c>
      <c r="AS108" s="306">
        <v>102240</v>
      </c>
      <c r="AT108" s="306">
        <v>328800</v>
      </c>
      <c r="AU108" s="306">
        <v>571200</v>
      </c>
      <c r="AV108" s="306">
        <v>829440</v>
      </c>
      <c r="AW108" s="306">
        <v>1104000</v>
      </c>
      <c r="AX108" s="306">
        <v>1394880</v>
      </c>
      <c r="AY108" s="306">
        <v>1702560</v>
      </c>
      <c r="AZ108" s="306">
        <v>2027040</v>
      </c>
      <c r="BA108" s="306">
        <v>2368800</v>
      </c>
      <c r="BB108" s="306">
        <v>2727840</v>
      </c>
      <c r="BC108" s="306">
        <v>3104640</v>
      </c>
      <c r="BD108" s="306">
        <v>3499200</v>
      </c>
      <c r="BE108" s="306">
        <v>3912000</v>
      </c>
      <c r="BF108" s="306">
        <v>4343040</v>
      </c>
      <c r="BG108" s="306">
        <v>4792320</v>
      </c>
      <c r="BH108" s="306">
        <v>5260320</v>
      </c>
      <c r="BI108" s="306">
        <v>5747040</v>
      </c>
    </row>
    <row r="109" spans="1:61" x14ac:dyDescent="0.25">
      <c r="A109" s="306" t="s">
        <v>402</v>
      </c>
      <c r="B109" s="306">
        <v>-56800</v>
      </c>
      <c r="C109" s="306">
        <v>-121760</v>
      </c>
      <c r="D109" s="306">
        <v>-194240</v>
      </c>
      <c r="E109" s="306">
        <v>-273920</v>
      </c>
      <c r="F109" s="306">
        <v>-360160</v>
      </c>
      <c r="G109" s="306">
        <v>-452320</v>
      </c>
      <c r="H109" s="306">
        <v>-549760</v>
      </c>
      <c r="I109" s="306">
        <v>-652160</v>
      </c>
      <c r="J109" s="306">
        <v>-758880</v>
      </c>
      <c r="K109" s="306">
        <v>-869600</v>
      </c>
      <c r="L109" s="306">
        <v>-983680</v>
      </c>
      <c r="M109" s="306">
        <v>-1100480</v>
      </c>
      <c r="N109" s="306">
        <v>-1219680</v>
      </c>
      <c r="O109" s="306">
        <v>-1340640</v>
      </c>
      <c r="P109" s="306">
        <v>-1463040</v>
      </c>
      <c r="Q109" s="306">
        <v>-1586560</v>
      </c>
      <c r="R109" s="306">
        <v>-1710560</v>
      </c>
      <c r="S109" s="306">
        <v>-1834720</v>
      </c>
      <c r="T109" s="306">
        <v>-1958400</v>
      </c>
      <c r="U109" s="306">
        <v>-2081280</v>
      </c>
      <c r="V109" s="306">
        <v>-2203040</v>
      </c>
      <c r="W109" s="306">
        <v>-2323040</v>
      </c>
      <c r="X109" s="306">
        <v>-2440960</v>
      </c>
      <c r="Y109" s="306">
        <v>-2556480</v>
      </c>
      <c r="Z109" s="306">
        <v>-2669280</v>
      </c>
      <c r="AA109" s="306">
        <v>-2778720</v>
      </c>
      <c r="AB109" s="306">
        <v>-2884480</v>
      </c>
      <c r="AC109" s="306">
        <v>-2986240</v>
      </c>
      <c r="AD109" s="306">
        <v>-3083680</v>
      </c>
      <c r="AE109" s="306">
        <v>-3176480</v>
      </c>
      <c r="AF109" s="306">
        <v>-3264000</v>
      </c>
      <c r="AG109" s="306">
        <v>-3345920</v>
      </c>
      <c r="AH109" s="306">
        <v>-3421920</v>
      </c>
      <c r="AI109" s="306">
        <v>-3491680</v>
      </c>
      <c r="AJ109" s="306">
        <v>-3554880</v>
      </c>
      <c r="AK109" s="306">
        <v>-3611200</v>
      </c>
      <c r="AL109" s="306">
        <v>-3660320</v>
      </c>
      <c r="AM109" s="306">
        <v>-3701920</v>
      </c>
      <c r="AN109" s="306">
        <v>-3735680</v>
      </c>
      <c r="AO109" s="306">
        <v>-3761280</v>
      </c>
      <c r="AP109" s="306">
        <v>-3778400</v>
      </c>
      <c r="AQ109" s="306">
        <v>-3786720</v>
      </c>
      <c r="AR109" s="306">
        <v>-3785920</v>
      </c>
      <c r="AS109" s="306">
        <v>-3775680</v>
      </c>
      <c r="AT109" s="306">
        <v>-3756000</v>
      </c>
      <c r="AU109" s="306">
        <v>-3726560</v>
      </c>
      <c r="AV109" s="306">
        <v>-3687040</v>
      </c>
      <c r="AW109" s="306">
        <v>-3637120</v>
      </c>
      <c r="AX109" s="306">
        <v>-3576480</v>
      </c>
      <c r="AY109" s="306">
        <v>-3504800</v>
      </c>
      <c r="AZ109" s="306">
        <v>-3422080</v>
      </c>
      <c r="BA109" s="306">
        <v>-3328000</v>
      </c>
      <c r="BB109" s="306">
        <v>-3222240</v>
      </c>
      <c r="BC109" s="306">
        <v>-3104480</v>
      </c>
      <c r="BD109" s="306">
        <v>-2974400</v>
      </c>
      <c r="BE109" s="306">
        <v>-2832000</v>
      </c>
      <c r="BF109" s="306">
        <v>-2676960</v>
      </c>
      <c r="BG109" s="306">
        <v>-2508960</v>
      </c>
      <c r="BH109" s="306">
        <v>-2328000</v>
      </c>
      <c r="BI109" s="306">
        <v>-2133760</v>
      </c>
    </row>
    <row r="110" spans="1:61" x14ac:dyDescent="0.25">
      <c r="A110" s="316" t="s">
        <v>403</v>
      </c>
    </row>
    <row r="115" spans="7:14" x14ac:dyDescent="0.25">
      <c r="J115" s="305" t="s">
        <v>404</v>
      </c>
      <c r="K115" s="317" t="s">
        <v>405</v>
      </c>
      <c r="L115" s="318" t="s">
        <v>406</v>
      </c>
    </row>
    <row r="116" spans="7:14" x14ac:dyDescent="0.25">
      <c r="G116" t="s">
        <v>313</v>
      </c>
      <c r="J116" s="296">
        <v>1200</v>
      </c>
      <c r="K116" s="296">
        <v>600</v>
      </c>
      <c r="L116" s="296">
        <v>400</v>
      </c>
    </row>
    <row r="117" spans="7:14" x14ac:dyDescent="0.25">
      <c r="G117" t="s">
        <v>314</v>
      </c>
      <c r="J117" s="297">
        <v>0.8</v>
      </c>
      <c r="K117" s="297">
        <v>0.8</v>
      </c>
      <c r="L117" s="297">
        <v>0.8</v>
      </c>
    </row>
    <row r="118" spans="7:14" x14ac:dyDescent="0.25">
      <c r="G118" t="s">
        <v>315</v>
      </c>
      <c r="J118" s="296">
        <v>6000</v>
      </c>
      <c r="K118" s="296">
        <v>6000</v>
      </c>
      <c r="L118" s="296">
        <v>6000</v>
      </c>
    </row>
    <row r="119" spans="7:14" x14ac:dyDescent="0.25">
      <c r="G119" t="s">
        <v>316</v>
      </c>
      <c r="J119" s="319">
        <v>0.05</v>
      </c>
      <c r="K119" s="319">
        <v>2.5000000000000001E-2</v>
      </c>
      <c r="L119" s="298">
        <v>1.6666666666666666E-2</v>
      </c>
    </row>
    <row r="120" spans="7:14" x14ac:dyDescent="0.25">
      <c r="J120" s="299"/>
      <c r="K120" s="299"/>
      <c r="L120" s="299"/>
    </row>
    <row r="121" spans="7:14" x14ac:dyDescent="0.25">
      <c r="G121" t="s">
        <v>317</v>
      </c>
      <c r="J121" s="300">
        <v>10</v>
      </c>
      <c r="K121" s="300">
        <v>10</v>
      </c>
      <c r="L121" s="300">
        <v>10</v>
      </c>
    </row>
    <row r="122" spans="7:14" x14ac:dyDescent="0.25">
      <c r="G122" t="s">
        <v>407</v>
      </c>
      <c r="J122" s="300">
        <v>2</v>
      </c>
      <c r="K122" s="300">
        <v>2</v>
      </c>
      <c r="L122" s="300">
        <v>2</v>
      </c>
    </row>
    <row r="124" spans="7:14" ht="18" thickBot="1" x14ac:dyDescent="0.35">
      <c r="G124" s="295" t="s">
        <v>319</v>
      </c>
    </row>
    <row r="125" spans="7:14" ht="15.75" thickTop="1" x14ac:dyDescent="0.25">
      <c r="G125" t="s">
        <v>320</v>
      </c>
      <c r="J125">
        <v>20</v>
      </c>
      <c r="K125">
        <v>40</v>
      </c>
      <c r="L125">
        <v>60</v>
      </c>
    </row>
    <row r="126" spans="7:14" x14ac:dyDescent="0.25">
      <c r="G126" t="s">
        <v>322</v>
      </c>
      <c r="J126" s="301">
        <v>19200</v>
      </c>
      <c r="K126" s="301">
        <v>19200</v>
      </c>
      <c r="L126" s="301">
        <v>19200</v>
      </c>
      <c r="N126" s="301"/>
    </row>
    <row r="127" spans="7:14" x14ac:dyDescent="0.25">
      <c r="G127" t="s">
        <v>323</v>
      </c>
      <c r="J127" s="302">
        <v>3.2</v>
      </c>
      <c r="K127" s="302">
        <v>3.2</v>
      </c>
      <c r="L127" s="302">
        <v>3.2</v>
      </c>
      <c r="N127" s="302"/>
    </row>
    <row r="128" spans="7:14" x14ac:dyDescent="0.25">
      <c r="G128" s="320" t="s">
        <v>324</v>
      </c>
      <c r="H128" s="320"/>
      <c r="I128" s="320"/>
      <c r="J128" s="321">
        <v>6.25</v>
      </c>
      <c r="K128" s="321">
        <v>12.5</v>
      </c>
      <c r="L128" s="321">
        <v>18.75</v>
      </c>
      <c r="N128" s="303"/>
    </row>
    <row r="129" spans="1:14" x14ac:dyDescent="0.25">
      <c r="G129" s="322" t="s">
        <v>408</v>
      </c>
      <c r="H129" s="322"/>
      <c r="I129" s="322"/>
      <c r="J129" s="323">
        <v>-405120</v>
      </c>
      <c r="K129" s="323">
        <v>-1652640</v>
      </c>
      <c r="L129" s="323">
        <v>-3761280</v>
      </c>
      <c r="N129" s="301"/>
    </row>
    <row r="143" spans="1:14" ht="23.25" x14ac:dyDescent="0.35">
      <c r="A143" s="292" t="s">
        <v>409</v>
      </c>
      <c r="E143" s="114"/>
    </row>
    <row r="145" spans="1:54" x14ac:dyDescent="0.25">
      <c r="B145" s="305" t="s">
        <v>327</v>
      </c>
      <c r="C145" s="305" t="s">
        <v>328</v>
      </c>
      <c r="D145" s="305" t="s">
        <v>329</v>
      </c>
      <c r="E145" s="305" t="s">
        <v>330</v>
      </c>
      <c r="F145" s="305" t="s">
        <v>331</v>
      </c>
      <c r="G145" s="305" t="s">
        <v>332</v>
      </c>
      <c r="H145" s="305" t="s">
        <v>333</v>
      </c>
      <c r="I145" s="305" t="s">
        <v>334</v>
      </c>
      <c r="J145" s="305" t="s">
        <v>335</v>
      </c>
      <c r="K145" s="305" t="s">
        <v>336</v>
      </c>
      <c r="L145" s="305" t="s">
        <v>337</v>
      </c>
      <c r="M145" s="305" t="s">
        <v>338</v>
      </c>
      <c r="N145" s="305" t="s">
        <v>339</v>
      </c>
      <c r="O145" s="305" t="s">
        <v>340</v>
      </c>
      <c r="P145" s="305" t="s">
        <v>341</v>
      </c>
      <c r="Q145" s="305" t="s">
        <v>342</v>
      </c>
      <c r="R145" s="305" t="s">
        <v>343</v>
      </c>
      <c r="S145" s="305" t="s">
        <v>344</v>
      </c>
      <c r="T145" s="305" t="s">
        <v>345</v>
      </c>
      <c r="U145" s="305" t="s">
        <v>346</v>
      </c>
      <c r="V145" s="305" t="s">
        <v>347</v>
      </c>
      <c r="W145" s="305" t="s">
        <v>348</v>
      </c>
      <c r="X145" s="305" t="s">
        <v>349</v>
      </c>
      <c r="Y145" s="305" t="s">
        <v>350</v>
      </c>
      <c r="Z145" s="305" t="s">
        <v>351</v>
      </c>
      <c r="AA145" s="305" t="s">
        <v>352</v>
      </c>
      <c r="AB145" s="305" t="s">
        <v>353</v>
      </c>
      <c r="AC145" s="305" t="s">
        <v>354</v>
      </c>
      <c r="AD145" s="305" t="s">
        <v>355</v>
      </c>
      <c r="AE145" s="305" t="s">
        <v>356</v>
      </c>
      <c r="AF145" s="305" t="s">
        <v>357</v>
      </c>
      <c r="AG145" s="305" t="s">
        <v>358</v>
      </c>
      <c r="AH145" s="305" t="s">
        <v>359</v>
      </c>
      <c r="AI145" s="305" t="s">
        <v>360</v>
      </c>
      <c r="AJ145" s="305" t="s">
        <v>361</v>
      </c>
      <c r="AK145" s="305" t="s">
        <v>362</v>
      </c>
      <c r="AL145" s="305" t="s">
        <v>363</v>
      </c>
      <c r="AM145" s="305" t="s">
        <v>364</v>
      </c>
      <c r="AN145" s="305" t="s">
        <v>365</v>
      </c>
      <c r="AO145" s="305" t="s">
        <v>366</v>
      </c>
    </row>
    <row r="146" spans="1:54" x14ac:dyDescent="0.25">
      <c r="A146" t="s">
        <v>410</v>
      </c>
      <c r="B146" s="306">
        <f>$B$7*10</f>
        <v>6000</v>
      </c>
      <c r="C146" s="324">
        <f>B146*(1-$B$10)</f>
        <v>5850</v>
      </c>
      <c r="D146" s="324">
        <f t="shared" ref="D146:AO153" si="10">C146*(1-$B$10)</f>
        <v>5703.75</v>
      </c>
      <c r="E146" s="324">
        <f t="shared" si="10"/>
        <v>5561.15625</v>
      </c>
      <c r="F146" s="324">
        <f t="shared" si="10"/>
        <v>5422.1273437499995</v>
      </c>
      <c r="G146" s="324">
        <f t="shared" si="10"/>
        <v>5286.5741601562495</v>
      </c>
      <c r="H146" s="324">
        <f t="shared" si="10"/>
        <v>5154.4098061523428</v>
      </c>
      <c r="I146" s="324">
        <f t="shared" si="10"/>
        <v>5025.5495609985337</v>
      </c>
      <c r="J146" s="324">
        <f t="shared" si="10"/>
        <v>4899.9108219735699</v>
      </c>
      <c r="K146" s="324">
        <f t="shared" si="10"/>
        <v>4777.4130514242306</v>
      </c>
      <c r="L146" s="324">
        <f t="shared" si="10"/>
        <v>4657.9777251386249</v>
      </c>
      <c r="M146" s="324">
        <f t="shared" si="10"/>
        <v>4541.5282820101593</v>
      </c>
      <c r="N146" s="324">
        <f t="shared" si="10"/>
        <v>4427.9900749599055</v>
      </c>
      <c r="O146" s="324">
        <f t="shared" si="10"/>
        <v>4317.2903230859074</v>
      </c>
      <c r="P146" s="324">
        <f t="shared" si="10"/>
        <v>4209.3580650087597</v>
      </c>
      <c r="Q146" s="324">
        <f t="shared" si="10"/>
        <v>4104.124113383541</v>
      </c>
      <c r="R146" s="324">
        <f t="shared" si="10"/>
        <v>4001.5210105489523</v>
      </c>
      <c r="S146" s="324">
        <f t="shared" si="10"/>
        <v>3901.4829852852286</v>
      </c>
      <c r="T146" s="324">
        <f t="shared" si="10"/>
        <v>3803.9459106530976</v>
      </c>
      <c r="U146" s="324">
        <f t="shared" si="10"/>
        <v>3708.8472628867703</v>
      </c>
      <c r="V146" s="324">
        <f t="shared" si="10"/>
        <v>3616.1260813146009</v>
      </c>
      <c r="W146" s="324">
        <f t="shared" si="10"/>
        <v>3525.722929281736</v>
      </c>
      <c r="X146" s="324">
        <f t="shared" si="10"/>
        <v>3437.5798560496924</v>
      </c>
      <c r="Y146" s="324">
        <f t="shared" si="10"/>
        <v>3351.6403596484502</v>
      </c>
      <c r="Z146" s="324">
        <f t="shared" si="10"/>
        <v>3267.849350657239</v>
      </c>
      <c r="AA146" s="324">
        <f t="shared" si="10"/>
        <v>3186.1531168908082</v>
      </c>
      <c r="AB146" s="324">
        <f t="shared" si="10"/>
        <v>3106.4992889685377</v>
      </c>
      <c r="AC146" s="324">
        <f t="shared" si="10"/>
        <v>3028.8368067443243</v>
      </c>
      <c r="AD146" s="324">
        <f t="shared" si="10"/>
        <v>2953.1158865757161</v>
      </c>
      <c r="AE146" s="324">
        <f t="shared" si="10"/>
        <v>2879.287989411323</v>
      </c>
      <c r="AF146" s="324">
        <f t="shared" si="10"/>
        <v>2807.3057896760397</v>
      </c>
      <c r="AG146" s="324">
        <f t="shared" si="10"/>
        <v>2737.1231449341385</v>
      </c>
      <c r="AH146" s="324">
        <f t="shared" si="10"/>
        <v>2668.695066310785</v>
      </c>
      <c r="AI146" s="324">
        <f t="shared" si="10"/>
        <v>2601.9776896530152</v>
      </c>
      <c r="AJ146" s="324">
        <f t="shared" si="10"/>
        <v>2536.9282474116899</v>
      </c>
      <c r="AK146" s="324">
        <f t="shared" si="10"/>
        <v>2473.5050412263977</v>
      </c>
      <c r="AL146" s="324">
        <f t="shared" si="10"/>
        <v>2411.6674151957377</v>
      </c>
      <c r="AM146" s="324">
        <f t="shared" si="10"/>
        <v>2351.3757298158444</v>
      </c>
      <c r="AN146" s="324">
        <f t="shared" si="10"/>
        <v>2292.5913365704482</v>
      </c>
      <c r="AO146" s="324">
        <f t="shared" si="10"/>
        <v>2235.2765531561868</v>
      </c>
    </row>
    <row r="147" spans="1:54" x14ac:dyDescent="0.25">
      <c r="A147" t="s">
        <v>411</v>
      </c>
      <c r="C147" s="306">
        <f>$B$7*10</f>
        <v>6000</v>
      </c>
      <c r="D147" s="324">
        <f>C147*(1-$B$10)</f>
        <v>5850</v>
      </c>
      <c r="E147" s="324">
        <f t="shared" si="10"/>
        <v>5703.75</v>
      </c>
      <c r="F147" s="324">
        <f t="shared" si="10"/>
        <v>5561.15625</v>
      </c>
      <c r="G147" s="324">
        <f t="shared" si="10"/>
        <v>5422.1273437499995</v>
      </c>
      <c r="H147" s="324">
        <f t="shared" si="10"/>
        <v>5286.5741601562495</v>
      </c>
      <c r="I147" s="324">
        <f t="shared" si="10"/>
        <v>5154.4098061523428</v>
      </c>
      <c r="J147" s="324">
        <f t="shared" si="10"/>
        <v>5025.5495609985337</v>
      </c>
      <c r="K147" s="324">
        <f t="shared" si="10"/>
        <v>4899.9108219735699</v>
      </c>
      <c r="L147" s="324">
        <f t="shared" si="10"/>
        <v>4777.4130514242306</v>
      </c>
      <c r="M147" s="324">
        <f t="shared" si="10"/>
        <v>4657.9777251386249</v>
      </c>
      <c r="N147" s="324">
        <f t="shared" si="10"/>
        <v>4541.5282820101593</v>
      </c>
      <c r="O147" s="324">
        <f t="shared" si="10"/>
        <v>4427.9900749599055</v>
      </c>
      <c r="P147" s="324">
        <f t="shared" si="10"/>
        <v>4317.2903230859074</v>
      </c>
      <c r="Q147" s="324">
        <f t="shared" si="10"/>
        <v>4209.3580650087597</v>
      </c>
      <c r="R147" s="324">
        <f t="shared" si="10"/>
        <v>4104.124113383541</v>
      </c>
      <c r="S147" s="324">
        <f t="shared" si="10"/>
        <v>4001.5210105489523</v>
      </c>
      <c r="T147" s="324">
        <f t="shared" si="10"/>
        <v>3901.4829852852286</v>
      </c>
      <c r="U147" s="324">
        <f t="shared" si="10"/>
        <v>3803.9459106530976</v>
      </c>
      <c r="V147" s="324">
        <f t="shared" si="10"/>
        <v>3708.8472628867703</v>
      </c>
      <c r="W147" s="324">
        <f t="shared" si="10"/>
        <v>3616.1260813146009</v>
      </c>
      <c r="X147" s="324">
        <f t="shared" si="10"/>
        <v>3525.722929281736</v>
      </c>
      <c r="Y147" s="324">
        <f t="shared" si="10"/>
        <v>3437.5798560496924</v>
      </c>
      <c r="Z147" s="324">
        <f t="shared" si="10"/>
        <v>3351.6403596484502</v>
      </c>
      <c r="AA147" s="324">
        <f t="shared" si="10"/>
        <v>3267.849350657239</v>
      </c>
      <c r="AB147" s="324">
        <f t="shared" si="10"/>
        <v>3186.1531168908082</v>
      </c>
      <c r="AC147" s="324">
        <f t="shared" si="10"/>
        <v>3106.4992889685377</v>
      </c>
      <c r="AD147" s="324">
        <f t="shared" si="10"/>
        <v>3028.8368067443243</v>
      </c>
      <c r="AE147" s="324">
        <f t="shared" si="10"/>
        <v>2953.1158865757161</v>
      </c>
      <c r="AF147" s="324">
        <f t="shared" si="10"/>
        <v>2879.287989411323</v>
      </c>
      <c r="AG147" s="324">
        <f t="shared" si="10"/>
        <v>2807.3057896760397</v>
      </c>
      <c r="AH147" s="324">
        <f t="shared" si="10"/>
        <v>2737.1231449341385</v>
      </c>
      <c r="AI147" s="324">
        <f t="shared" si="10"/>
        <v>2668.695066310785</v>
      </c>
      <c r="AJ147" s="324">
        <f t="shared" si="10"/>
        <v>2601.9776896530152</v>
      </c>
      <c r="AK147" s="324">
        <f t="shared" si="10"/>
        <v>2536.9282474116899</v>
      </c>
      <c r="AL147" s="324">
        <f t="shared" si="10"/>
        <v>2473.5050412263977</v>
      </c>
      <c r="AM147" s="324">
        <f t="shared" si="10"/>
        <v>2411.6674151957377</v>
      </c>
      <c r="AN147" s="324">
        <f t="shared" si="10"/>
        <v>2351.3757298158444</v>
      </c>
      <c r="AO147" s="324">
        <f t="shared" si="10"/>
        <v>2292.5913365704482</v>
      </c>
    </row>
    <row r="148" spans="1:54" x14ac:dyDescent="0.25">
      <c r="A148" t="s">
        <v>412</v>
      </c>
      <c r="D148" s="306">
        <f>$B$7*10</f>
        <v>6000</v>
      </c>
      <c r="E148" s="324">
        <f>D148*(1-$B$10)</f>
        <v>5850</v>
      </c>
      <c r="F148" s="324">
        <f t="shared" si="10"/>
        <v>5703.75</v>
      </c>
      <c r="G148" s="324">
        <f t="shared" si="10"/>
        <v>5561.15625</v>
      </c>
      <c r="H148" s="324">
        <f t="shared" si="10"/>
        <v>5422.1273437499995</v>
      </c>
      <c r="I148" s="324">
        <f t="shared" si="10"/>
        <v>5286.5741601562495</v>
      </c>
      <c r="J148" s="324">
        <f t="shared" si="10"/>
        <v>5154.4098061523428</v>
      </c>
      <c r="K148" s="324">
        <f t="shared" si="10"/>
        <v>5025.5495609985337</v>
      </c>
      <c r="L148" s="324">
        <f t="shared" si="10"/>
        <v>4899.9108219735699</v>
      </c>
      <c r="M148" s="324">
        <f t="shared" si="10"/>
        <v>4777.4130514242306</v>
      </c>
      <c r="N148" s="324">
        <f t="shared" si="10"/>
        <v>4657.9777251386249</v>
      </c>
      <c r="O148" s="324">
        <f t="shared" si="10"/>
        <v>4541.5282820101593</v>
      </c>
      <c r="P148" s="324">
        <f t="shared" si="10"/>
        <v>4427.9900749599055</v>
      </c>
      <c r="Q148" s="324">
        <f t="shared" si="10"/>
        <v>4317.2903230859074</v>
      </c>
      <c r="R148" s="324">
        <f t="shared" si="10"/>
        <v>4209.3580650087597</v>
      </c>
      <c r="S148" s="324">
        <f t="shared" si="10"/>
        <v>4104.124113383541</v>
      </c>
      <c r="T148" s="324">
        <f t="shared" si="10"/>
        <v>4001.5210105489523</v>
      </c>
      <c r="U148" s="324">
        <f t="shared" si="10"/>
        <v>3901.4829852852286</v>
      </c>
      <c r="V148" s="324">
        <f t="shared" si="10"/>
        <v>3803.9459106530976</v>
      </c>
      <c r="W148" s="324">
        <f t="shared" si="10"/>
        <v>3708.8472628867703</v>
      </c>
      <c r="X148" s="324">
        <f t="shared" si="10"/>
        <v>3616.1260813146009</v>
      </c>
      <c r="Y148" s="324">
        <f t="shared" si="10"/>
        <v>3525.722929281736</v>
      </c>
      <c r="Z148" s="324">
        <f t="shared" si="10"/>
        <v>3437.5798560496924</v>
      </c>
      <c r="AA148" s="324">
        <f t="shared" si="10"/>
        <v>3351.6403596484502</v>
      </c>
      <c r="AB148" s="324">
        <f t="shared" si="10"/>
        <v>3267.849350657239</v>
      </c>
      <c r="AC148" s="324">
        <f t="shared" si="10"/>
        <v>3186.1531168908082</v>
      </c>
      <c r="AD148" s="324">
        <f t="shared" si="10"/>
        <v>3106.4992889685377</v>
      </c>
      <c r="AE148" s="324">
        <f t="shared" si="10"/>
        <v>3028.8368067443243</v>
      </c>
      <c r="AF148" s="324">
        <f t="shared" si="10"/>
        <v>2953.1158865757161</v>
      </c>
      <c r="AG148" s="324">
        <f t="shared" si="10"/>
        <v>2879.287989411323</v>
      </c>
      <c r="AH148" s="324">
        <f t="shared" si="10"/>
        <v>2807.3057896760397</v>
      </c>
      <c r="AI148" s="324">
        <f t="shared" si="10"/>
        <v>2737.1231449341385</v>
      </c>
      <c r="AJ148" s="324">
        <f t="shared" si="10"/>
        <v>2668.695066310785</v>
      </c>
      <c r="AK148" s="324">
        <f t="shared" si="10"/>
        <v>2601.9776896530152</v>
      </c>
      <c r="AL148" s="324">
        <f t="shared" si="10"/>
        <v>2536.9282474116899</v>
      </c>
      <c r="AM148" s="324">
        <f t="shared" si="10"/>
        <v>2473.5050412263977</v>
      </c>
      <c r="AN148" s="324">
        <f t="shared" si="10"/>
        <v>2411.6674151957377</v>
      </c>
      <c r="AO148" s="324">
        <f t="shared" si="10"/>
        <v>2351.3757298158444</v>
      </c>
      <c r="AP148" s="324"/>
    </row>
    <row r="149" spans="1:54" x14ac:dyDescent="0.25">
      <c r="A149" t="s">
        <v>413</v>
      </c>
      <c r="E149" s="306">
        <f>$B$7*10</f>
        <v>6000</v>
      </c>
      <c r="F149" s="324">
        <f>E149*(1-$B$10)</f>
        <v>5850</v>
      </c>
      <c r="G149" s="324">
        <f t="shared" si="10"/>
        <v>5703.75</v>
      </c>
      <c r="H149" s="324">
        <f t="shared" si="10"/>
        <v>5561.15625</v>
      </c>
      <c r="I149" s="324">
        <f t="shared" si="10"/>
        <v>5422.1273437499995</v>
      </c>
      <c r="J149" s="324">
        <f t="shared" si="10"/>
        <v>5286.5741601562495</v>
      </c>
      <c r="K149" s="324">
        <f t="shared" si="10"/>
        <v>5154.4098061523428</v>
      </c>
      <c r="L149" s="324">
        <f t="shared" si="10"/>
        <v>5025.5495609985337</v>
      </c>
      <c r="M149" s="324">
        <f t="shared" si="10"/>
        <v>4899.9108219735699</v>
      </c>
      <c r="N149" s="324">
        <f t="shared" si="10"/>
        <v>4777.4130514242306</v>
      </c>
      <c r="O149" s="324">
        <f t="shared" si="10"/>
        <v>4657.9777251386249</v>
      </c>
      <c r="P149" s="324">
        <f t="shared" si="10"/>
        <v>4541.5282820101593</v>
      </c>
      <c r="Q149" s="324">
        <f t="shared" si="10"/>
        <v>4427.9900749599055</v>
      </c>
      <c r="R149" s="324">
        <f t="shared" si="10"/>
        <v>4317.2903230859074</v>
      </c>
      <c r="S149" s="324">
        <f t="shared" si="10"/>
        <v>4209.3580650087597</v>
      </c>
      <c r="T149" s="324">
        <f t="shared" si="10"/>
        <v>4104.124113383541</v>
      </c>
      <c r="U149" s="324">
        <f t="shared" si="10"/>
        <v>4001.5210105489523</v>
      </c>
      <c r="V149" s="324">
        <f t="shared" si="10"/>
        <v>3901.4829852852286</v>
      </c>
      <c r="W149" s="324">
        <f t="shared" si="10"/>
        <v>3803.9459106530976</v>
      </c>
      <c r="X149" s="324">
        <f t="shared" si="10"/>
        <v>3708.8472628867703</v>
      </c>
      <c r="Y149" s="324">
        <f t="shared" si="10"/>
        <v>3616.1260813146009</v>
      </c>
      <c r="Z149" s="324">
        <f t="shared" si="10"/>
        <v>3525.722929281736</v>
      </c>
      <c r="AA149" s="324">
        <f t="shared" si="10"/>
        <v>3437.5798560496924</v>
      </c>
      <c r="AB149" s="324">
        <f t="shared" si="10"/>
        <v>3351.6403596484502</v>
      </c>
      <c r="AC149" s="324">
        <f t="shared" si="10"/>
        <v>3267.849350657239</v>
      </c>
      <c r="AD149" s="324">
        <f t="shared" si="10"/>
        <v>3186.1531168908082</v>
      </c>
      <c r="AE149" s="324">
        <f t="shared" si="10"/>
        <v>3106.4992889685377</v>
      </c>
      <c r="AF149" s="324">
        <f t="shared" si="10"/>
        <v>3028.8368067443243</v>
      </c>
      <c r="AG149" s="324">
        <f t="shared" si="10"/>
        <v>2953.1158865757161</v>
      </c>
      <c r="AH149" s="324">
        <f t="shared" si="10"/>
        <v>2879.287989411323</v>
      </c>
      <c r="AI149" s="324">
        <f t="shared" si="10"/>
        <v>2807.3057896760397</v>
      </c>
      <c r="AJ149" s="324">
        <f t="shared" si="10"/>
        <v>2737.1231449341385</v>
      </c>
      <c r="AK149" s="324">
        <f t="shared" si="10"/>
        <v>2668.695066310785</v>
      </c>
      <c r="AL149" s="324">
        <f t="shared" si="10"/>
        <v>2601.9776896530152</v>
      </c>
      <c r="AM149" s="324">
        <f t="shared" si="10"/>
        <v>2536.9282474116899</v>
      </c>
      <c r="AN149" s="324">
        <f t="shared" si="10"/>
        <v>2473.5050412263977</v>
      </c>
      <c r="AO149" s="324">
        <f t="shared" si="10"/>
        <v>2411.6674151957377</v>
      </c>
      <c r="AP149" s="324"/>
      <c r="AQ149" s="324"/>
    </row>
    <row r="150" spans="1:54" x14ac:dyDescent="0.25">
      <c r="A150" t="s">
        <v>414</v>
      </c>
      <c r="F150" s="306">
        <f>$B$7*10</f>
        <v>6000</v>
      </c>
      <c r="G150" s="324">
        <f>F150*(1-$B$10)</f>
        <v>5850</v>
      </c>
      <c r="H150" s="324">
        <f t="shared" si="10"/>
        <v>5703.75</v>
      </c>
      <c r="I150" s="324">
        <f t="shared" si="10"/>
        <v>5561.15625</v>
      </c>
      <c r="J150" s="324">
        <f t="shared" si="10"/>
        <v>5422.1273437499995</v>
      </c>
      <c r="K150" s="324">
        <f t="shared" si="10"/>
        <v>5286.5741601562495</v>
      </c>
      <c r="L150" s="324">
        <f t="shared" si="10"/>
        <v>5154.4098061523428</v>
      </c>
      <c r="M150" s="324">
        <f t="shared" si="10"/>
        <v>5025.5495609985337</v>
      </c>
      <c r="N150" s="324">
        <f t="shared" si="10"/>
        <v>4899.9108219735699</v>
      </c>
      <c r="O150" s="324">
        <f t="shared" si="10"/>
        <v>4777.4130514242306</v>
      </c>
      <c r="P150" s="324">
        <f t="shared" si="10"/>
        <v>4657.9777251386249</v>
      </c>
      <c r="Q150" s="324">
        <f t="shared" si="10"/>
        <v>4541.5282820101593</v>
      </c>
      <c r="R150" s="324">
        <f t="shared" si="10"/>
        <v>4427.9900749599055</v>
      </c>
      <c r="S150" s="324">
        <f t="shared" si="10"/>
        <v>4317.2903230859074</v>
      </c>
      <c r="T150" s="324">
        <f t="shared" si="10"/>
        <v>4209.3580650087597</v>
      </c>
      <c r="U150" s="324">
        <f t="shared" si="10"/>
        <v>4104.124113383541</v>
      </c>
      <c r="V150" s="324">
        <f t="shared" si="10"/>
        <v>4001.5210105489523</v>
      </c>
      <c r="W150" s="324">
        <f t="shared" si="10"/>
        <v>3901.4829852852286</v>
      </c>
      <c r="X150" s="324">
        <f t="shared" si="10"/>
        <v>3803.9459106530976</v>
      </c>
      <c r="Y150" s="324">
        <f t="shared" si="10"/>
        <v>3708.8472628867703</v>
      </c>
      <c r="Z150" s="324">
        <f t="shared" si="10"/>
        <v>3616.1260813146009</v>
      </c>
      <c r="AA150" s="324">
        <f t="shared" si="10"/>
        <v>3525.722929281736</v>
      </c>
      <c r="AB150" s="324">
        <f t="shared" si="10"/>
        <v>3437.5798560496924</v>
      </c>
      <c r="AC150" s="324">
        <f t="shared" si="10"/>
        <v>3351.6403596484502</v>
      </c>
      <c r="AD150" s="324">
        <f t="shared" si="10"/>
        <v>3267.849350657239</v>
      </c>
      <c r="AE150" s="324">
        <f t="shared" si="10"/>
        <v>3186.1531168908082</v>
      </c>
      <c r="AF150" s="324">
        <f t="shared" si="10"/>
        <v>3106.4992889685377</v>
      </c>
      <c r="AG150" s="324">
        <f t="shared" si="10"/>
        <v>3028.8368067443243</v>
      </c>
      <c r="AH150" s="324">
        <f t="shared" si="10"/>
        <v>2953.1158865757161</v>
      </c>
      <c r="AI150" s="324">
        <f t="shared" si="10"/>
        <v>2879.287989411323</v>
      </c>
      <c r="AJ150" s="324">
        <f t="shared" si="10"/>
        <v>2807.3057896760397</v>
      </c>
      <c r="AK150" s="324">
        <f t="shared" si="10"/>
        <v>2737.1231449341385</v>
      </c>
      <c r="AL150" s="324">
        <f t="shared" si="10"/>
        <v>2668.695066310785</v>
      </c>
      <c r="AM150" s="324">
        <f t="shared" si="10"/>
        <v>2601.9776896530152</v>
      </c>
      <c r="AN150" s="324">
        <f t="shared" si="10"/>
        <v>2536.9282474116899</v>
      </c>
      <c r="AO150" s="324">
        <f t="shared" si="10"/>
        <v>2473.5050412263977</v>
      </c>
      <c r="AP150" s="324"/>
      <c r="AQ150" s="324"/>
      <c r="AR150" s="324"/>
    </row>
    <row r="151" spans="1:54" x14ac:dyDescent="0.25">
      <c r="A151" t="s">
        <v>415</v>
      </c>
      <c r="G151" s="306">
        <f>$B$7*10</f>
        <v>6000</v>
      </c>
      <c r="H151" s="324">
        <f>G151*(1-$B$10)</f>
        <v>5850</v>
      </c>
      <c r="I151" s="324">
        <f t="shared" si="10"/>
        <v>5703.75</v>
      </c>
      <c r="J151" s="324">
        <f t="shared" si="10"/>
        <v>5561.15625</v>
      </c>
      <c r="K151" s="324">
        <f t="shared" si="10"/>
        <v>5422.1273437499995</v>
      </c>
      <c r="L151" s="324">
        <f t="shared" si="10"/>
        <v>5286.5741601562495</v>
      </c>
      <c r="M151" s="324">
        <f t="shared" si="10"/>
        <v>5154.4098061523428</v>
      </c>
      <c r="N151" s="324">
        <f t="shared" si="10"/>
        <v>5025.5495609985337</v>
      </c>
      <c r="O151" s="324">
        <f t="shared" si="10"/>
        <v>4899.9108219735699</v>
      </c>
      <c r="P151" s="324">
        <f t="shared" si="10"/>
        <v>4777.4130514242306</v>
      </c>
      <c r="Q151" s="324">
        <f t="shared" si="10"/>
        <v>4657.9777251386249</v>
      </c>
      <c r="R151" s="324">
        <f t="shared" si="10"/>
        <v>4541.5282820101593</v>
      </c>
      <c r="S151" s="324">
        <f t="shared" si="10"/>
        <v>4427.9900749599055</v>
      </c>
      <c r="T151" s="324">
        <f t="shared" si="10"/>
        <v>4317.2903230859074</v>
      </c>
      <c r="U151" s="324">
        <f t="shared" si="10"/>
        <v>4209.3580650087597</v>
      </c>
      <c r="V151" s="324">
        <f t="shared" si="10"/>
        <v>4104.124113383541</v>
      </c>
      <c r="W151" s="324">
        <f t="shared" si="10"/>
        <v>4001.5210105489523</v>
      </c>
      <c r="X151" s="324">
        <f t="shared" si="10"/>
        <v>3901.4829852852286</v>
      </c>
      <c r="Y151" s="324">
        <f t="shared" si="10"/>
        <v>3803.9459106530976</v>
      </c>
      <c r="Z151" s="324">
        <f t="shared" si="10"/>
        <v>3708.8472628867703</v>
      </c>
      <c r="AA151" s="324">
        <f t="shared" si="10"/>
        <v>3616.1260813146009</v>
      </c>
      <c r="AB151" s="324">
        <f t="shared" si="10"/>
        <v>3525.722929281736</v>
      </c>
      <c r="AC151" s="324">
        <f t="shared" si="10"/>
        <v>3437.5798560496924</v>
      </c>
      <c r="AD151" s="324">
        <f t="shared" si="10"/>
        <v>3351.6403596484502</v>
      </c>
      <c r="AE151" s="324">
        <f t="shared" si="10"/>
        <v>3267.849350657239</v>
      </c>
      <c r="AF151" s="324">
        <f t="shared" si="10"/>
        <v>3186.1531168908082</v>
      </c>
      <c r="AG151" s="324">
        <f t="shared" si="10"/>
        <v>3106.4992889685377</v>
      </c>
      <c r="AH151" s="324">
        <f t="shared" si="10"/>
        <v>3028.8368067443243</v>
      </c>
      <c r="AI151" s="324">
        <f t="shared" si="10"/>
        <v>2953.1158865757161</v>
      </c>
      <c r="AJ151" s="324">
        <f t="shared" si="10"/>
        <v>2879.287989411323</v>
      </c>
      <c r="AK151" s="324">
        <f t="shared" si="10"/>
        <v>2807.3057896760397</v>
      </c>
      <c r="AL151" s="324">
        <f t="shared" si="10"/>
        <v>2737.1231449341385</v>
      </c>
      <c r="AM151" s="324">
        <f t="shared" si="10"/>
        <v>2668.695066310785</v>
      </c>
      <c r="AN151" s="324">
        <f t="shared" si="10"/>
        <v>2601.9776896530152</v>
      </c>
      <c r="AO151" s="324">
        <f t="shared" si="10"/>
        <v>2536.9282474116899</v>
      </c>
      <c r="AP151" s="324"/>
      <c r="AQ151" s="324"/>
      <c r="AR151" s="324"/>
      <c r="AS151" s="324"/>
    </row>
    <row r="152" spans="1:54" x14ac:dyDescent="0.25">
      <c r="A152" t="s">
        <v>416</v>
      </c>
      <c r="H152" s="306">
        <f>$B$7*10</f>
        <v>6000</v>
      </c>
      <c r="I152" s="324">
        <f>H152*(1-$B$10)</f>
        <v>5850</v>
      </c>
      <c r="J152" s="324">
        <f t="shared" si="10"/>
        <v>5703.75</v>
      </c>
      <c r="K152" s="324">
        <f t="shared" si="10"/>
        <v>5561.15625</v>
      </c>
      <c r="L152" s="324">
        <f t="shared" si="10"/>
        <v>5422.1273437499995</v>
      </c>
      <c r="M152" s="324">
        <f t="shared" si="10"/>
        <v>5286.5741601562495</v>
      </c>
      <c r="N152" s="324">
        <f t="shared" si="10"/>
        <v>5154.4098061523428</v>
      </c>
      <c r="O152" s="324">
        <f t="shared" si="10"/>
        <v>5025.5495609985337</v>
      </c>
      <c r="P152" s="324">
        <f t="shared" si="10"/>
        <v>4899.9108219735699</v>
      </c>
      <c r="Q152" s="324">
        <f t="shared" si="10"/>
        <v>4777.4130514242306</v>
      </c>
      <c r="R152" s="324">
        <f t="shared" si="10"/>
        <v>4657.9777251386249</v>
      </c>
      <c r="S152" s="324">
        <f t="shared" si="10"/>
        <v>4541.5282820101593</v>
      </c>
      <c r="T152" s="324">
        <f t="shared" si="10"/>
        <v>4427.9900749599055</v>
      </c>
      <c r="U152" s="324">
        <f t="shared" si="10"/>
        <v>4317.2903230859074</v>
      </c>
      <c r="V152" s="324">
        <f t="shared" si="10"/>
        <v>4209.3580650087597</v>
      </c>
      <c r="W152" s="324">
        <f t="shared" si="10"/>
        <v>4104.124113383541</v>
      </c>
      <c r="X152" s="324">
        <f t="shared" si="10"/>
        <v>4001.5210105489523</v>
      </c>
      <c r="Y152" s="324">
        <f t="shared" si="10"/>
        <v>3901.4829852852286</v>
      </c>
      <c r="Z152" s="324">
        <f t="shared" si="10"/>
        <v>3803.9459106530976</v>
      </c>
      <c r="AA152" s="324">
        <f t="shared" si="10"/>
        <v>3708.8472628867703</v>
      </c>
      <c r="AB152" s="324">
        <f t="shared" si="10"/>
        <v>3616.1260813146009</v>
      </c>
      <c r="AC152" s="324">
        <f t="shared" si="10"/>
        <v>3525.722929281736</v>
      </c>
      <c r="AD152" s="324">
        <f t="shared" si="10"/>
        <v>3437.5798560496924</v>
      </c>
      <c r="AE152" s="324">
        <f t="shared" si="10"/>
        <v>3351.6403596484502</v>
      </c>
      <c r="AF152" s="324">
        <f t="shared" si="10"/>
        <v>3267.849350657239</v>
      </c>
      <c r="AG152" s="324">
        <f t="shared" si="10"/>
        <v>3186.1531168908082</v>
      </c>
      <c r="AH152" s="324">
        <f t="shared" si="10"/>
        <v>3106.4992889685377</v>
      </c>
      <c r="AI152" s="324">
        <f t="shared" si="10"/>
        <v>3028.8368067443243</v>
      </c>
      <c r="AJ152" s="324">
        <f t="shared" si="10"/>
        <v>2953.1158865757161</v>
      </c>
      <c r="AK152" s="324">
        <f t="shared" si="10"/>
        <v>2879.287989411323</v>
      </c>
      <c r="AL152" s="324">
        <f t="shared" si="10"/>
        <v>2807.3057896760397</v>
      </c>
      <c r="AM152" s="324">
        <f t="shared" si="10"/>
        <v>2737.1231449341385</v>
      </c>
      <c r="AN152" s="324">
        <f t="shared" si="10"/>
        <v>2668.695066310785</v>
      </c>
      <c r="AO152" s="324">
        <f t="shared" si="10"/>
        <v>2601.9776896530152</v>
      </c>
      <c r="AP152" s="324"/>
      <c r="AQ152" s="324"/>
      <c r="AR152" s="324"/>
      <c r="AS152" s="324"/>
      <c r="AT152" s="324"/>
    </row>
    <row r="153" spans="1:54" x14ac:dyDescent="0.25">
      <c r="A153" t="s">
        <v>417</v>
      </c>
      <c r="I153" s="306">
        <f>$B$7*10</f>
        <v>6000</v>
      </c>
      <c r="J153" s="324">
        <f>I153*(1-$B$10)</f>
        <v>5850</v>
      </c>
      <c r="K153" s="324">
        <f t="shared" si="10"/>
        <v>5703.75</v>
      </c>
      <c r="L153" s="324">
        <f t="shared" si="10"/>
        <v>5561.15625</v>
      </c>
      <c r="M153" s="324">
        <f t="shared" si="10"/>
        <v>5422.1273437499995</v>
      </c>
      <c r="N153" s="324">
        <f t="shared" si="10"/>
        <v>5286.5741601562495</v>
      </c>
      <c r="O153" s="324">
        <f t="shared" si="10"/>
        <v>5154.4098061523428</v>
      </c>
      <c r="P153" s="324">
        <f t="shared" si="10"/>
        <v>5025.5495609985337</v>
      </c>
      <c r="Q153" s="324">
        <f t="shared" si="10"/>
        <v>4899.9108219735699</v>
      </c>
      <c r="R153" s="324">
        <f t="shared" si="10"/>
        <v>4777.4130514242306</v>
      </c>
      <c r="S153" s="324">
        <f t="shared" si="10"/>
        <v>4657.9777251386249</v>
      </c>
      <c r="T153" s="324">
        <f t="shared" si="10"/>
        <v>4541.5282820101593</v>
      </c>
      <c r="U153" s="324">
        <f t="shared" ref="U153:AJ167" si="11">T153*(1-$B$10)</f>
        <v>4427.9900749599055</v>
      </c>
      <c r="V153" s="324">
        <f t="shared" si="11"/>
        <v>4317.2903230859074</v>
      </c>
      <c r="W153" s="324">
        <f t="shared" si="11"/>
        <v>4209.3580650087597</v>
      </c>
      <c r="X153" s="324">
        <f t="shared" si="11"/>
        <v>4104.124113383541</v>
      </c>
      <c r="Y153" s="324">
        <f t="shared" si="11"/>
        <v>4001.5210105489523</v>
      </c>
      <c r="Z153" s="324">
        <f t="shared" si="11"/>
        <v>3901.4829852852286</v>
      </c>
      <c r="AA153" s="324">
        <f t="shared" si="11"/>
        <v>3803.9459106530976</v>
      </c>
      <c r="AB153" s="324">
        <f t="shared" si="11"/>
        <v>3708.8472628867703</v>
      </c>
      <c r="AC153" s="324">
        <f t="shared" si="11"/>
        <v>3616.1260813146009</v>
      </c>
      <c r="AD153" s="324">
        <f t="shared" si="11"/>
        <v>3525.722929281736</v>
      </c>
      <c r="AE153" s="324">
        <f t="shared" si="11"/>
        <v>3437.5798560496924</v>
      </c>
      <c r="AF153" s="324">
        <f t="shared" si="11"/>
        <v>3351.6403596484502</v>
      </c>
      <c r="AG153" s="324">
        <f t="shared" si="11"/>
        <v>3267.849350657239</v>
      </c>
      <c r="AH153" s="324">
        <f t="shared" si="11"/>
        <v>3186.1531168908082</v>
      </c>
      <c r="AI153" s="324">
        <f t="shared" si="11"/>
        <v>3106.4992889685377</v>
      </c>
      <c r="AJ153" s="324">
        <f t="shared" si="11"/>
        <v>3028.8368067443243</v>
      </c>
      <c r="AK153" s="324">
        <f t="shared" ref="AK153:AO161" si="12">AJ153*(1-$B$10)</f>
        <v>2953.1158865757161</v>
      </c>
      <c r="AL153" s="324">
        <f t="shared" si="12"/>
        <v>2879.287989411323</v>
      </c>
      <c r="AM153" s="324">
        <f t="shared" si="12"/>
        <v>2807.3057896760397</v>
      </c>
      <c r="AN153" s="324">
        <f t="shared" si="12"/>
        <v>2737.1231449341385</v>
      </c>
      <c r="AO153" s="324">
        <f t="shared" si="12"/>
        <v>2668.695066310785</v>
      </c>
      <c r="AP153" s="324"/>
      <c r="AQ153" s="324"/>
      <c r="AR153" s="324"/>
      <c r="AS153" s="324"/>
      <c r="AT153" s="324"/>
      <c r="AU153" s="324"/>
    </row>
    <row r="154" spans="1:54" x14ac:dyDescent="0.25">
      <c r="A154" t="s">
        <v>418</v>
      </c>
      <c r="J154" s="306">
        <f>$B$7*10</f>
        <v>6000</v>
      </c>
      <c r="K154" s="324">
        <f>J154*(1-$B$10)</f>
        <v>5850</v>
      </c>
      <c r="L154" s="324">
        <f t="shared" ref="L154:AA167" si="13">K154*(1-$B$10)</f>
        <v>5703.75</v>
      </c>
      <c r="M154" s="324">
        <f t="shared" si="13"/>
        <v>5561.15625</v>
      </c>
      <c r="N154" s="324">
        <f t="shared" si="13"/>
        <v>5422.1273437499995</v>
      </c>
      <c r="O154" s="324">
        <f t="shared" si="13"/>
        <v>5286.5741601562495</v>
      </c>
      <c r="P154" s="324">
        <f t="shared" si="13"/>
        <v>5154.4098061523428</v>
      </c>
      <c r="Q154" s="324">
        <f t="shared" si="13"/>
        <v>5025.5495609985337</v>
      </c>
      <c r="R154" s="324">
        <f t="shared" si="13"/>
        <v>4899.9108219735699</v>
      </c>
      <c r="S154" s="324">
        <f t="shared" si="13"/>
        <v>4777.4130514242306</v>
      </c>
      <c r="T154" s="324">
        <f t="shared" si="13"/>
        <v>4657.9777251386249</v>
      </c>
      <c r="U154" s="324">
        <f t="shared" si="13"/>
        <v>4541.5282820101593</v>
      </c>
      <c r="V154" s="324">
        <f t="shared" si="13"/>
        <v>4427.9900749599055</v>
      </c>
      <c r="W154" s="324">
        <f t="shared" si="13"/>
        <v>4317.2903230859074</v>
      </c>
      <c r="X154" s="324">
        <f t="shared" si="13"/>
        <v>4209.3580650087597</v>
      </c>
      <c r="Y154" s="324">
        <f t="shared" si="13"/>
        <v>4104.124113383541</v>
      </c>
      <c r="Z154" s="324">
        <f t="shared" si="13"/>
        <v>4001.5210105489523</v>
      </c>
      <c r="AA154" s="324">
        <f t="shared" si="13"/>
        <v>3901.4829852852286</v>
      </c>
      <c r="AB154" s="324">
        <f t="shared" si="11"/>
        <v>3803.9459106530976</v>
      </c>
      <c r="AC154" s="324">
        <f t="shared" si="11"/>
        <v>3708.8472628867703</v>
      </c>
      <c r="AD154" s="324">
        <f t="shared" si="11"/>
        <v>3616.1260813146009</v>
      </c>
      <c r="AE154" s="324">
        <f t="shared" si="11"/>
        <v>3525.722929281736</v>
      </c>
      <c r="AF154" s="324">
        <f t="shared" si="11"/>
        <v>3437.5798560496924</v>
      </c>
      <c r="AG154" s="324">
        <f t="shared" si="11"/>
        <v>3351.6403596484502</v>
      </c>
      <c r="AH154" s="324">
        <f t="shared" si="11"/>
        <v>3267.849350657239</v>
      </c>
      <c r="AI154" s="324">
        <f t="shared" si="11"/>
        <v>3186.1531168908082</v>
      </c>
      <c r="AJ154" s="324">
        <f t="shared" si="11"/>
        <v>3106.4992889685377</v>
      </c>
      <c r="AK154" s="324">
        <f t="shared" si="12"/>
        <v>3028.8368067443243</v>
      </c>
      <c r="AL154" s="324">
        <f t="shared" si="12"/>
        <v>2953.1158865757161</v>
      </c>
      <c r="AM154" s="324">
        <f t="shared" si="12"/>
        <v>2879.287989411323</v>
      </c>
      <c r="AN154" s="324">
        <f t="shared" si="12"/>
        <v>2807.3057896760397</v>
      </c>
      <c r="AO154" s="324">
        <f t="shared" si="12"/>
        <v>2737.1231449341385</v>
      </c>
      <c r="AP154" s="324"/>
      <c r="AQ154" s="324"/>
      <c r="AR154" s="324"/>
      <c r="AS154" s="324"/>
      <c r="AT154" s="324"/>
      <c r="AU154" s="324"/>
      <c r="AV154" s="324"/>
    </row>
    <row r="155" spans="1:54" x14ac:dyDescent="0.25">
      <c r="A155" t="s">
        <v>419</v>
      </c>
      <c r="K155" s="306">
        <f>$B$7*10</f>
        <v>6000</v>
      </c>
      <c r="L155" s="324">
        <f>K155*(1-$B$10)</f>
        <v>5850</v>
      </c>
      <c r="M155" s="324">
        <f t="shared" si="13"/>
        <v>5703.75</v>
      </c>
      <c r="N155" s="324">
        <f t="shared" si="13"/>
        <v>5561.15625</v>
      </c>
      <c r="O155" s="324">
        <f t="shared" si="13"/>
        <v>5422.1273437499995</v>
      </c>
      <c r="P155" s="324">
        <f t="shared" si="13"/>
        <v>5286.5741601562495</v>
      </c>
      <c r="Q155" s="324">
        <f t="shared" si="13"/>
        <v>5154.4098061523428</v>
      </c>
      <c r="R155" s="324">
        <f t="shared" si="13"/>
        <v>5025.5495609985337</v>
      </c>
      <c r="S155" s="324">
        <f t="shared" si="13"/>
        <v>4899.9108219735699</v>
      </c>
      <c r="T155" s="324">
        <f t="shared" si="13"/>
        <v>4777.4130514242306</v>
      </c>
      <c r="U155" s="324">
        <f t="shared" si="13"/>
        <v>4657.9777251386249</v>
      </c>
      <c r="V155" s="324">
        <f t="shared" si="13"/>
        <v>4541.5282820101593</v>
      </c>
      <c r="W155" s="324">
        <f t="shared" si="13"/>
        <v>4427.9900749599055</v>
      </c>
      <c r="X155" s="324">
        <f t="shared" si="13"/>
        <v>4317.2903230859074</v>
      </c>
      <c r="Y155" s="324">
        <f t="shared" si="13"/>
        <v>4209.3580650087597</v>
      </c>
      <c r="Z155" s="324">
        <f t="shared" si="13"/>
        <v>4104.124113383541</v>
      </c>
      <c r="AA155" s="324">
        <f t="shared" si="13"/>
        <v>4001.5210105489523</v>
      </c>
      <c r="AB155" s="324">
        <f t="shared" si="11"/>
        <v>3901.4829852852286</v>
      </c>
      <c r="AC155" s="324">
        <f t="shared" si="11"/>
        <v>3803.9459106530976</v>
      </c>
      <c r="AD155" s="324">
        <f t="shared" si="11"/>
        <v>3708.8472628867703</v>
      </c>
      <c r="AE155" s="324">
        <f t="shared" si="11"/>
        <v>3616.1260813146009</v>
      </c>
      <c r="AF155" s="324">
        <f t="shared" si="11"/>
        <v>3525.722929281736</v>
      </c>
      <c r="AG155" s="324">
        <f t="shared" si="11"/>
        <v>3437.5798560496924</v>
      </c>
      <c r="AH155" s="324">
        <f t="shared" si="11"/>
        <v>3351.6403596484502</v>
      </c>
      <c r="AI155" s="324">
        <f t="shared" si="11"/>
        <v>3267.849350657239</v>
      </c>
      <c r="AJ155" s="324">
        <f t="shared" si="11"/>
        <v>3186.1531168908082</v>
      </c>
      <c r="AK155" s="324">
        <f t="shared" si="12"/>
        <v>3106.4992889685377</v>
      </c>
      <c r="AL155" s="324">
        <f t="shared" si="12"/>
        <v>3028.8368067443243</v>
      </c>
      <c r="AM155" s="324">
        <f t="shared" si="12"/>
        <v>2953.1158865757161</v>
      </c>
      <c r="AN155" s="324">
        <f t="shared" si="12"/>
        <v>2879.287989411323</v>
      </c>
      <c r="AO155" s="324">
        <f t="shared" si="12"/>
        <v>2807.3057896760397</v>
      </c>
      <c r="AP155" s="324"/>
      <c r="AQ155" s="324"/>
      <c r="AR155" s="324"/>
      <c r="AS155" s="324"/>
      <c r="AT155" s="324"/>
      <c r="AU155" s="324"/>
      <c r="AV155" s="324"/>
      <c r="AW155" s="324"/>
    </row>
    <row r="156" spans="1:54" x14ac:dyDescent="0.25">
      <c r="A156" t="s">
        <v>420</v>
      </c>
      <c r="L156" s="306">
        <f>$B$7*10</f>
        <v>6000</v>
      </c>
      <c r="M156" s="324">
        <f>L156*(1-$B$10)</f>
        <v>5850</v>
      </c>
      <c r="N156" s="324">
        <f t="shared" si="13"/>
        <v>5703.75</v>
      </c>
      <c r="O156" s="324">
        <f t="shared" si="13"/>
        <v>5561.15625</v>
      </c>
      <c r="P156" s="324">
        <f t="shared" si="13"/>
        <v>5422.1273437499995</v>
      </c>
      <c r="Q156" s="324">
        <f t="shared" si="13"/>
        <v>5286.5741601562495</v>
      </c>
      <c r="R156" s="324">
        <f t="shared" si="13"/>
        <v>5154.4098061523428</v>
      </c>
      <c r="S156" s="324">
        <f t="shared" si="13"/>
        <v>5025.5495609985337</v>
      </c>
      <c r="T156" s="324">
        <f t="shared" si="13"/>
        <v>4899.9108219735699</v>
      </c>
      <c r="U156" s="324">
        <f t="shared" si="13"/>
        <v>4777.4130514242306</v>
      </c>
      <c r="V156" s="324">
        <f t="shared" si="13"/>
        <v>4657.9777251386249</v>
      </c>
      <c r="W156" s="324">
        <f t="shared" si="13"/>
        <v>4541.5282820101593</v>
      </c>
      <c r="X156" s="324">
        <f t="shared" si="13"/>
        <v>4427.9900749599055</v>
      </c>
      <c r="Y156" s="324">
        <f t="shared" si="13"/>
        <v>4317.2903230859074</v>
      </c>
      <c r="Z156" s="324">
        <f t="shared" si="13"/>
        <v>4209.3580650087597</v>
      </c>
      <c r="AA156" s="324">
        <f t="shared" si="13"/>
        <v>4104.124113383541</v>
      </c>
      <c r="AB156" s="324">
        <f t="shared" si="11"/>
        <v>4001.5210105489523</v>
      </c>
      <c r="AC156" s="324">
        <f t="shared" si="11"/>
        <v>3901.4829852852286</v>
      </c>
      <c r="AD156" s="324">
        <f t="shared" si="11"/>
        <v>3803.9459106530976</v>
      </c>
      <c r="AE156" s="324">
        <f t="shared" si="11"/>
        <v>3708.8472628867703</v>
      </c>
      <c r="AF156" s="324">
        <f t="shared" si="11"/>
        <v>3616.1260813146009</v>
      </c>
      <c r="AG156" s="324">
        <f t="shared" si="11"/>
        <v>3525.722929281736</v>
      </c>
      <c r="AH156" s="324">
        <f t="shared" si="11"/>
        <v>3437.5798560496924</v>
      </c>
      <c r="AI156" s="324">
        <f t="shared" si="11"/>
        <v>3351.6403596484502</v>
      </c>
      <c r="AJ156" s="324">
        <f t="shared" si="11"/>
        <v>3267.849350657239</v>
      </c>
      <c r="AK156" s="324">
        <f t="shared" si="12"/>
        <v>3186.1531168908082</v>
      </c>
      <c r="AL156" s="324">
        <f t="shared" si="12"/>
        <v>3106.4992889685377</v>
      </c>
      <c r="AM156" s="324">
        <f t="shared" si="12"/>
        <v>3028.8368067443243</v>
      </c>
      <c r="AN156" s="324">
        <f t="shared" si="12"/>
        <v>2953.1158865757161</v>
      </c>
      <c r="AO156" s="324">
        <f t="shared" si="12"/>
        <v>2879.287989411323</v>
      </c>
      <c r="AP156" s="324"/>
      <c r="AQ156" s="324"/>
      <c r="AR156" s="324"/>
      <c r="AS156" s="324"/>
      <c r="AT156" s="324"/>
      <c r="AU156" s="324"/>
      <c r="AV156" s="324"/>
      <c r="AW156" s="324"/>
      <c r="AX156" s="324"/>
    </row>
    <row r="157" spans="1:54" x14ac:dyDescent="0.25">
      <c r="A157" t="s">
        <v>421</v>
      </c>
      <c r="M157" s="306">
        <f>$B$7*10</f>
        <v>6000</v>
      </c>
      <c r="N157" s="324">
        <f>M157*(1-$B$10)</f>
        <v>5850</v>
      </c>
      <c r="O157" s="324">
        <f t="shared" si="13"/>
        <v>5703.75</v>
      </c>
      <c r="P157" s="324">
        <f t="shared" si="13"/>
        <v>5561.15625</v>
      </c>
      <c r="Q157" s="324">
        <f t="shared" si="13"/>
        <v>5422.1273437499995</v>
      </c>
      <c r="R157" s="324">
        <f t="shared" si="13"/>
        <v>5286.5741601562495</v>
      </c>
      <c r="S157" s="324">
        <f t="shared" si="13"/>
        <v>5154.4098061523428</v>
      </c>
      <c r="T157" s="324">
        <f t="shared" si="13"/>
        <v>5025.5495609985337</v>
      </c>
      <c r="U157" s="324">
        <f t="shared" si="13"/>
        <v>4899.9108219735699</v>
      </c>
      <c r="V157" s="324">
        <f t="shared" si="13"/>
        <v>4777.4130514242306</v>
      </c>
      <c r="W157" s="324">
        <f t="shared" si="13"/>
        <v>4657.9777251386249</v>
      </c>
      <c r="X157" s="324">
        <f t="shared" si="13"/>
        <v>4541.5282820101593</v>
      </c>
      <c r="Y157" s="324">
        <f t="shared" si="13"/>
        <v>4427.9900749599055</v>
      </c>
      <c r="Z157" s="324">
        <f t="shared" si="13"/>
        <v>4317.2903230859074</v>
      </c>
      <c r="AA157" s="324">
        <f t="shared" si="13"/>
        <v>4209.3580650087597</v>
      </c>
      <c r="AB157" s="324">
        <f t="shared" si="11"/>
        <v>4104.124113383541</v>
      </c>
      <c r="AC157" s="324">
        <f t="shared" si="11"/>
        <v>4001.5210105489523</v>
      </c>
      <c r="AD157" s="324">
        <f t="shared" si="11"/>
        <v>3901.4829852852286</v>
      </c>
      <c r="AE157" s="324">
        <f t="shared" si="11"/>
        <v>3803.9459106530976</v>
      </c>
      <c r="AF157" s="324">
        <f t="shared" si="11"/>
        <v>3708.8472628867703</v>
      </c>
      <c r="AG157" s="324">
        <f t="shared" si="11"/>
        <v>3616.1260813146009</v>
      </c>
      <c r="AH157" s="324">
        <f t="shared" si="11"/>
        <v>3525.722929281736</v>
      </c>
      <c r="AI157" s="324">
        <f t="shared" si="11"/>
        <v>3437.5798560496924</v>
      </c>
      <c r="AJ157" s="324">
        <f t="shared" si="11"/>
        <v>3351.6403596484502</v>
      </c>
      <c r="AK157" s="324">
        <f t="shared" si="12"/>
        <v>3267.849350657239</v>
      </c>
      <c r="AL157" s="324">
        <f t="shared" si="12"/>
        <v>3186.1531168908082</v>
      </c>
      <c r="AM157" s="324">
        <f t="shared" si="12"/>
        <v>3106.4992889685377</v>
      </c>
      <c r="AN157" s="324">
        <f t="shared" si="12"/>
        <v>3028.8368067443243</v>
      </c>
      <c r="AO157" s="324">
        <f t="shared" si="12"/>
        <v>2953.1158865757161</v>
      </c>
      <c r="AP157" s="324"/>
      <c r="AQ157" s="324"/>
      <c r="AR157" s="324"/>
      <c r="AS157" s="324"/>
      <c r="AT157" s="324"/>
      <c r="AU157" s="324"/>
      <c r="AV157" s="324"/>
      <c r="AW157" s="324"/>
      <c r="AX157" s="324"/>
      <c r="AY157" s="324"/>
    </row>
    <row r="158" spans="1:54" x14ac:dyDescent="0.25">
      <c r="A158" t="s">
        <v>422</v>
      </c>
      <c r="N158" s="306">
        <f>$B$7*10</f>
        <v>6000</v>
      </c>
      <c r="O158" s="324">
        <f>N158*(1-$B$10)</f>
        <v>5850</v>
      </c>
      <c r="P158" s="324">
        <f t="shared" si="13"/>
        <v>5703.75</v>
      </c>
      <c r="Q158" s="324">
        <f t="shared" si="13"/>
        <v>5561.15625</v>
      </c>
      <c r="R158" s="324">
        <f t="shared" si="13"/>
        <v>5422.1273437499995</v>
      </c>
      <c r="S158" s="324">
        <f t="shared" si="13"/>
        <v>5286.5741601562495</v>
      </c>
      <c r="T158" s="324">
        <f t="shared" si="13"/>
        <v>5154.4098061523428</v>
      </c>
      <c r="U158" s="324">
        <f t="shared" si="13"/>
        <v>5025.5495609985337</v>
      </c>
      <c r="V158" s="324">
        <f t="shared" si="13"/>
        <v>4899.9108219735699</v>
      </c>
      <c r="W158" s="324">
        <f t="shared" si="13"/>
        <v>4777.4130514242306</v>
      </c>
      <c r="X158" s="324">
        <f t="shared" si="13"/>
        <v>4657.9777251386249</v>
      </c>
      <c r="Y158" s="324">
        <f t="shared" si="13"/>
        <v>4541.5282820101593</v>
      </c>
      <c r="Z158" s="324">
        <f t="shared" si="13"/>
        <v>4427.9900749599055</v>
      </c>
      <c r="AA158" s="324">
        <f t="shared" si="13"/>
        <v>4317.2903230859074</v>
      </c>
      <c r="AB158" s="324">
        <f t="shared" si="11"/>
        <v>4209.3580650087597</v>
      </c>
      <c r="AC158" s="324">
        <f t="shared" si="11"/>
        <v>4104.124113383541</v>
      </c>
      <c r="AD158" s="324">
        <f t="shared" si="11"/>
        <v>4001.5210105489523</v>
      </c>
      <c r="AE158" s="324">
        <f t="shared" si="11"/>
        <v>3901.4829852852286</v>
      </c>
      <c r="AF158" s="324">
        <f t="shared" si="11"/>
        <v>3803.9459106530976</v>
      </c>
      <c r="AG158" s="324">
        <f t="shared" si="11"/>
        <v>3708.8472628867703</v>
      </c>
      <c r="AH158" s="324">
        <f t="shared" si="11"/>
        <v>3616.1260813146009</v>
      </c>
      <c r="AI158" s="324">
        <f t="shared" si="11"/>
        <v>3525.722929281736</v>
      </c>
      <c r="AJ158" s="324">
        <f t="shared" si="11"/>
        <v>3437.5798560496924</v>
      </c>
      <c r="AK158" s="324">
        <f t="shared" si="12"/>
        <v>3351.6403596484502</v>
      </c>
      <c r="AL158" s="324">
        <f t="shared" si="12"/>
        <v>3267.849350657239</v>
      </c>
      <c r="AM158" s="324">
        <f t="shared" si="12"/>
        <v>3186.1531168908082</v>
      </c>
      <c r="AN158" s="324">
        <f t="shared" si="12"/>
        <v>3106.4992889685377</v>
      </c>
      <c r="AO158" s="324">
        <f t="shared" si="12"/>
        <v>3028.8368067443243</v>
      </c>
      <c r="AP158" s="324"/>
      <c r="AQ158" s="324"/>
      <c r="AR158" s="324"/>
      <c r="AS158" s="324"/>
      <c r="AT158" s="324"/>
      <c r="AU158" s="324"/>
      <c r="AV158" s="324"/>
      <c r="AW158" s="324"/>
      <c r="AX158" s="324"/>
      <c r="AY158" s="324"/>
      <c r="AZ158" s="324"/>
    </row>
    <row r="159" spans="1:54" x14ac:dyDescent="0.25">
      <c r="A159" t="s">
        <v>423</v>
      </c>
      <c r="O159" s="306">
        <f>$B$7*10</f>
        <v>6000</v>
      </c>
      <c r="P159" s="324">
        <f>O159*(1-$B$10)</f>
        <v>5850</v>
      </c>
      <c r="Q159" s="324">
        <f t="shared" si="13"/>
        <v>5703.75</v>
      </c>
      <c r="R159" s="324">
        <f t="shared" si="13"/>
        <v>5561.15625</v>
      </c>
      <c r="S159" s="324">
        <f t="shared" si="13"/>
        <v>5422.1273437499995</v>
      </c>
      <c r="T159" s="324">
        <f t="shared" si="13"/>
        <v>5286.5741601562495</v>
      </c>
      <c r="U159" s="324">
        <f t="shared" si="13"/>
        <v>5154.4098061523428</v>
      </c>
      <c r="V159" s="324">
        <f t="shared" si="13"/>
        <v>5025.5495609985337</v>
      </c>
      <c r="W159" s="324">
        <f t="shared" si="13"/>
        <v>4899.9108219735699</v>
      </c>
      <c r="X159" s="324">
        <f t="shared" si="13"/>
        <v>4777.4130514242306</v>
      </c>
      <c r="Y159" s="324">
        <f t="shared" si="13"/>
        <v>4657.9777251386249</v>
      </c>
      <c r="Z159" s="324">
        <f t="shared" si="13"/>
        <v>4541.5282820101593</v>
      </c>
      <c r="AA159" s="324">
        <f t="shared" si="13"/>
        <v>4427.9900749599055</v>
      </c>
      <c r="AB159" s="324">
        <f t="shared" si="11"/>
        <v>4317.2903230859074</v>
      </c>
      <c r="AC159" s="324">
        <f t="shared" si="11"/>
        <v>4209.3580650087597</v>
      </c>
      <c r="AD159" s="324">
        <f t="shared" si="11"/>
        <v>4104.124113383541</v>
      </c>
      <c r="AE159" s="324">
        <f t="shared" si="11"/>
        <v>4001.5210105489523</v>
      </c>
      <c r="AF159" s="324">
        <f t="shared" si="11"/>
        <v>3901.4829852852286</v>
      </c>
      <c r="AG159" s="324">
        <f t="shared" si="11"/>
        <v>3803.9459106530976</v>
      </c>
      <c r="AH159" s="324">
        <f t="shared" si="11"/>
        <v>3708.8472628867703</v>
      </c>
      <c r="AI159" s="324">
        <f t="shared" si="11"/>
        <v>3616.1260813146009</v>
      </c>
      <c r="AJ159" s="324">
        <f t="shared" si="11"/>
        <v>3525.722929281736</v>
      </c>
      <c r="AK159" s="324">
        <f t="shared" si="12"/>
        <v>3437.5798560496924</v>
      </c>
      <c r="AL159" s="324">
        <f t="shared" si="12"/>
        <v>3351.6403596484502</v>
      </c>
      <c r="AM159" s="324">
        <f t="shared" si="12"/>
        <v>3267.849350657239</v>
      </c>
      <c r="AN159" s="324">
        <f t="shared" si="12"/>
        <v>3186.1531168908082</v>
      </c>
      <c r="AO159" s="324">
        <f t="shared" si="12"/>
        <v>3106.4992889685377</v>
      </c>
      <c r="AP159" s="324"/>
      <c r="AQ159" s="324"/>
      <c r="AR159" s="324"/>
      <c r="AS159" s="324"/>
      <c r="AT159" s="324"/>
      <c r="AU159" s="324"/>
      <c r="AV159" s="324"/>
      <c r="AW159" s="324"/>
      <c r="AX159" s="324"/>
      <c r="AY159" s="324"/>
      <c r="AZ159" s="324"/>
      <c r="BA159" s="324"/>
    </row>
    <row r="160" spans="1:54" x14ac:dyDescent="0.25">
      <c r="A160" t="s">
        <v>424</v>
      </c>
      <c r="P160" s="306">
        <f>$B$7*10</f>
        <v>6000</v>
      </c>
      <c r="Q160" s="324">
        <f>P160*(1-$B$10)</f>
        <v>5850</v>
      </c>
      <c r="R160" s="324">
        <f t="shared" si="13"/>
        <v>5703.75</v>
      </c>
      <c r="S160" s="324">
        <f t="shared" si="13"/>
        <v>5561.15625</v>
      </c>
      <c r="T160" s="324">
        <f t="shared" si="13"/>
        <v>5422.1273437499995</v>
      </c>
      <c r="U160" s="324">
        <f t="shared" si="13"/>
        <v>5286.5741601562495</v>
      </c>
      <c r="V160" s="324">
        <f t="shared" si="13"/>
        <v>5154.4098061523428</v>
      </c>
      <c r="W160" s="324">
        <f t="shared" si="13"/>
        <v>5025.5495609985337</v>
      </c>
      <c r="X160" s="324">
        <f t="shared" si="13"/>
        <v>4899.9108219735699</v>
      </c>
      <c r="Y160" s="324">
        <f t="shared" si="13"/>
        <v>4777.4130514242306</v>
      </c>
      <c r="Z160" s="324">
        <f t="shared" si="13"/>
        <v>4657.9777251386249</v>
      </c>
      <c r="AA160" s="324">
        <f t="shared" si="13"/>
        <v>4541.5282820101593</v>
      </c>
      <c r="AB160" s="324">
        <f t="shared" si="11"/>
        <v>4427.9900749599055</v>
      </c>
      <c r="AC160" s="324">
        <f t="shared" si="11"/>
        <v>4317.2903230859074</v>
      </c>
      <c r="AD160" s="324">
        <f t="shared" si="11"/>
        <v>4209.3580650087597</v>
      </c>
      <c r="AE160" s="324">
        <f t="shared" si="11"/>
        <v>4104.124113383541</v>
      </c>
      <c r="AF160" s="324">
        <f t="shared" si="11"/>
        <v>4001.5210105489523</v>
      </c>
      <c r="AG160" s="324">
        <f t="shared" si="11"/>
        <v>3901.4829852852286</v>
      </c>
      <c r="AH160" s="324">
        <f t="shared" si="11"/>
        <v>3803.9459106530976</v>
      </c>
      <c r="AI160" s="324">
        <f t="shared" si="11"/>
        <v>3708.8472628867703</v>
      </c>
      <c r="AJ160" s="324">
        <f t="shared" si="11"/>
        <v>3616.1260813146009</v>
      </c>
      <c r="AK160" s="324">
        <f t="shared" si="12"/>
        <v>3525.722929281736</v>
      </c>
      <c r="AL160" s="324">
        <f t="shared" si="12"/>
        <v>3437.5798560496924</v>
      </c>
      <c r="AM160" s="324">
        <f t="shared" si="12"/>
        <v>3351.6403596484502</v>
      </c>
      <c r="AN160" s="324">
        <f t="shared" si="12"/>
        <v>3267.849350657239</v>
      </c>
      <c r="AO160" s="324">
        <f t="shared" si="12"/>
        <v>3186.1531168908082</v>
      </c>
      <c r="AP160" s="324"/>
      <c r="AQ160" s="324"/>
      <c r="AR160" s="324"/>
      <c r="AS160" s="324"/>
      <c r="AT160" s="324"/>
      <c r="AU160" s="324"/>
      <c r="AV160" s="324"/>
      <c r="AW160" s="324"/>
      <c r="AX160" s="324"/>
      <c r="AY160" s="324"/>
      <c r="AZ160" s="324"/>
      <c r="BA160" s="324"/>
      <c r="BB160" s="324"/>
    </row>
    <row r="161" spans="1:61" x14ac:dyDescent="0.25">
      <c r="A161" t="s">
        <v>425</v>
      </c>
      <c r="Q161" s="306">
        <f>$B$7*10</f>
        <v>6000</v>
      </c>
      <c r="R161" s="324">
        <f>Q161*(1-$B$10)</f>
        <v>5850</v>
      </c>
      <c r="S161" s="324">
        <f t="shared" si="13"/>
        <v>5703.75</v>
      </c>
      <c r="T161" s="324">
        <f t="shared" si="13"/>
        <v>5561.15625</v>
      </c>
      <c r="U161" s="324">
        <f t="shared" si="13"/>
        <v>5422.1273437499995</v>
      </c>
      <c r="V161" s="324">
        <f t="shared" si="13"/>
        <v>5286.5741601562495</v>
      </c>
      <c r="W161" s="324">
        <f t="shared" si="13"/>
        <v>5154.4098061523428</v>
      </c>
      <c r="X161" s="324">
        <f t="shared" si="13"/>
        <v>5025.5495609985337</v>
      </c>
      <c r="Y161" s="324">
        <f t="shared" si="13"/>
        <v>4899.9108219735699</v>
      </c>
      <c r="Z161" s="324">
        <f t="shared" si="13"/>
        <v>4777.4130514242306</v>
      </c>
      <c r="AA161" s="324">
        <f t="shared" si="13"/>
        <v>4657.9777251386249</v>
      </c>
      <c r="AB161" s="324">
        <f t="shared" si="11"/>
        <v>4541.5282820101593</v>
      </c>
      <c r="AC161" s="324">
        <f t="shared" si="11"/>
        <v>4427.9900749599055</v>
      </c>
      <c r="AD161" s="324">
        <f t="shared" si="11"/>
        <v>4317.2903230859074</v>
      </c>
      <c r="AE161" s="324">
        <f t="shared" si="11"/>
        <v>4209.3580650087597</v>
      </c>
      <c r="AF161" s="324">
        <f t="shared" si="11"/>
        <v>4104.124113383541</v>
      </c>
      <c r="AG161" s="324">
        <f t="shared" si="11"/>
        <v>4001.5210105489523</v>
      </c>
      <c r="AH161" s="324">
        <f t="shared" si="11"/>
        <v>3901.4829852852286</v>
      </c>
      <c r="AI161" s="324">
        <f t="shared" si="11"/>
        <v>3803.9459106530976</v>
      </c>
      <c r="AJ161" s="324">
        <f t="shared" si="11"/>
        <v>3708.8472628867703</v>
      </c>
      <c r="AK161" s="324">
        <f t="shared" si="12"/>
        <v>3616.1260813146009</v>
      </c>
      <c r="AL161" s="324">
        <f t="shared" si="12"/>
        <v>3525.722929281736</v>
      </c>
      <c r="AM161" s="324">
        <f t="shared" si="12"/>
        <v>3437.5798560496924</v>
      </c>
      <c r="AN161" s="324">
        <f t="shared" si="12"/>
        <v>3351.6403596484502</v>
      </c>
      <c r="AO161" s="324">
        <f t="shared" si="12"/>
        <v>3267.849350657239</v>
      </c>
      <c r="AP161" s="324"/>
      <c r="AQ161" s="324"/>
      <c r="AR161" s="324"/>
      <c r="AS161" s="324"/>
      <c r="AT161" s="324"/>
      <c r="AU161" s="324"/>
      <c r="AV161" s="324"/>
      <c r="AW161" s="324"/>
      <c r="AX161" s="324"/>
      <c r="AY161" s="324"/>
      <c r="AZ161" s="324"/>
      <c r="BA161" s="324"/>
      <c r="BB161" s="324"/>
      <c r="BC161" s="324"/>
    </row>
    <row r="162" spans="1:61" x14ac:dyDescent="0.25">
      <c r="A162" t="s">
        <v>426</v>
      </c>
      <c r="R162" s="306">
        <f>$B$7*10</f>
        <v>6000</v>
      </c>
      <c r="S162" s="324">
        <f>R162*(1-$B$10)</f>
        <v>5850</v>
      </c>
      <c r="T162" s="324">
        <f t="shared" si="13"/>
        <v>5703.75</v>
      </c>
      <c r="U162" s="324">
        <f t="shared" si="13"/>
        <v>5561.15625</v>
      </c>
      <c r="V162" s="324">
        <f t="shared" si="13"/>
        <v>5422.1273437499995</v>
      </c>
      <c r="W162" s="324">
        <f t="shared" si="13"/>
        <v>5286.5741601562495</v>
      </c>
      <c r="X162" s="324">
        <f t="shared" si="13"/>
        <v>5154.4098061523428</v>
      </c>
      <c r="Y162" s="324">
        <f t="shared" si="13"/>
        <v>5025.5495609985337</v>
      </c>
      <c r="Z162" s="324">
        <f t="shared" si="13"/>
        <v>4899.9108219735699</v>
      </c>
      <c r="AA162" s="324">
        <f t="shared" si="13"/>
        <v>4777.4130514242306</v>
      </c>
      <c r="AB162" s="324">
        <f t="shared" si="11"/>
        <v>4657.9777251386249</v>
      </c>
      <c r="AC162" s="324">
        <f t="shared" si="11"/>
        <v>4541.5282820101593</v>
      </c>
      <c r="AD162" s="324">
        <f t="shared" si="11"/>
        <v>4427.9900749599055</v>
      </c>
      <c r="AE162" s="324">
        <f t="shared" si="11"/>
        <v>4317.2903230859074</v>
      </c>
      <c r="AF162" s="324">
        <f t="shared" si="11"/>
        <v>4209.3580650087597</v>
      </c>
      <c r="AG162" s="324">
        <f t="shared" si="11"/>
        <v>4104.124113383541</v>
      </c>
      <c r="AH162" s="324">
        <f t="shared" si="11"/>
        <v>4001.5210105489523</v>
      </c>
      <c r="AI162" s="324">
        <f t="shared" si="11"/>
        <v>3901.4829852852286</v>
      </c>
      <c r="AJ162" s="324">
        <f t="shared" si="11"/>
        <v>3803.9459106530976</v>
      </c>
      <c r="AK162" s="324">
        <f>AJ162*(1-$B$10)</f>
        <v>3708.8472628867703</v>
      </c>
      <c r="AL162" s="324">
        <f>AK162*(1-$B$10)</f>
        <v>3616.1260813146009</v>
      </c>
      <c r="AM162" s="324">
        <f>AL162*(1-$B$10)</f>
        <v>3525.722929281736</v>
      </c>
      <c r="AN162" s="324">
        <f>AM162*(1-$B$10)</f>
        <v>3437.5798560496924</v>
      </c>
      <c r="AO162" s="324">
        <f>AN162*(1-$B$10)</f>
        <v>3351.6403596484502</v>
      </c>
      <c r="AP162" s="324"/>
      <c r="AQ162" s="324"/>
      <c r="AR162" s="324"/>
      <c r="AS162" s="324"/>
      <c r="AT162" s="324"/>
      <c r="AU162" s="324"/>
      <c r="AV162" s="324"/>
      <c r="AW162" s="324"/>
      <c r="AX162" s="324"/>
      <c r="AY162" s="324"/>
      <c r="AZ162" s="324"/>
      <c r="BA162" s="324"/>
      <c r="BB162" s="324"/>
      <c r="BC162" s="324"/>
      <c r="BD162" s="324"/>
    </row>
    <row r="163" spans="1:61" x14ac:dyDescent="0.25">
      <c r="A163" t="s">
        <v>427</v>
      </c>
      <c r="S163" s="306">
        <f>$B$7*10</f>
        <v>6000</v>
      </c>
      <c r="T163" s="324">
        <f>S163*(1-$B$10)</f>
        <v>5850</v>
      </c>
      <c r="U163" s="324">
        <f t="shared" si="13"/>
        <v>5703.75</v>
      </c>
      <c r="V163" s="324">
        <f t="shared" si="13"/>
        <v>5561.15625</v>
      </c>
      <c r="W163" s="324">
        <f t="shared" si="13"/>
        <v>5422.1273437499995</v>
      </c>
      <c r="X163" s="324">
        <f t="shared" si="13"/>
        <v>5286.5741601562495</v>
      </c>
      <c r="Y163" s="324">
        <f t="shared" si="13"/>
        <v>5154.4098061523428</v>
      </c>
      <c r="Z163" s="324">
        <f t="shared" si="13"/>
        <v>5025.5495609985337</v>
      </c>
      <c r="AA163" s="324">
        <f t="shared" si="13"/>
        <v>4899.9108219735699</v>
      </c>
      <c r="AB163" s="324">
        <f t="shared" si="11"/>
        <v>4777.4130514242306</v>
      </c>
      <c r="AC163" s="324">
        <f t="shared" si="11"/>
        <v>4657.9777251386249</v>
      </c>
      <c r="AD163" s="324">
        <f t="shared" si="11"/>
        <v>4541.5282820101593</v>
      </c>
      <c r="AE163" s="324">
        <f t="shared" si="11"/>
        <v>4427.9900749599055</v>
      </c>
      <c r="AF163" s="324">
        <f t="shared" si="11"/>
        <v>4317.2903230859074</v>
      </c>
      <c r="AG163" s="324">
        <f t="shared" si="11"/>
        <v>4209.3580650087597</v>
      </c>
      <c r="AH163" s="324">
        <f t="shared" si="11"/>
        <v>4104.124113383541</v>
      </c>
      <c r="AI163" s="324">
        <f t="shared" si="11"/>
        <v>4001.5210105489523</v>
      </c>
      <c r="AJ163" s="324">
        <f t="shared" si="11"/>
        <v>3901.4829852852286</v>
      </c>
      <c r="AK163" s="324">
        <f t="shared" ref="Z163:AO178" si="14">AJ163*(1-$B$10)</f>
        <v>3803.9459106530976</v>
      </c>
      <c r="AL163" s="324">
        <f t="shared" si="14"/>
        <v>3708.8472628867703</v>
      </c>
      <c r="AM163" s="324">
        <f t="shared" si="14"/>
        <v>3616.1260813146009</v>
      </c>
      <c r="AN163" s="324">
        <f t="shared" si="14"/>
        <v>3525.722929281736</v>
      </c>
      <c r="AO163" s="324">
        <f t="shared" si="14"/>
        <v>3437.5798560496924</v>
      </c>
      <c r="AP163" s="324"/>
      <c r="AQ163" s="324"/>
      <c r="AR163" s="324"/>
      <c r="AS163" s="324"/>
      <c r="AT163" s="324"/>
      <c r="AU163" s="324"/>
      <c r="AV163" s="324"/>
      <c r="AW163" s="324"/>
      <c r="AX163" s="324"/>
      <c r="AY163" s="324"/>
      <c r="AZ163" s="324"/>
      <c r="BA163" s="324"/>
      <c r="BB163" s="324"/>
      <c r="BC163" s="324"/>
      <c r="BD163" s="324"/>
      <c r="BE163" s="324"/>
    </row>
    <row r="164" spans="1:61" x14ac:dyDescent="0.25">
      <c r="A164" t="s">
        <v>428</v>
      </c>
      <c r="T164" s="306">
        <f>$B$7*10</f>
        <v>6000</v>
      </c>
      <c r="U164" s="324">
        <f>T164*(1-$B$10)</f>
        <v>5850</v>
      </c>
      <c r="V164" s="324">
        <f t="shared" si="13"/>
        <v>5703.75</v>
      </c>
      <c r="W164" s="324">
        <f t="shared" si="13"/>
        <v>5561.15625</v>
      </c>
      <c r="X164" s="324">
        <f t="shared" si="13"/>
        <v>5422.1273437499995</v>
      </c>
      <c r="Y164" s="324">
        <f t="shared" si="13"/>
        <v>5286.5741601562495</v>
      </c>
      <c r="Z164" s="324">
        <f t="shared" si="13"/>
        <v>5154.4098061523428</v>
      </c>
      <c r="AA164" s="324">
        <f t="shared" si="13"/>
        <v>5025.5495609985337</v>
      </c>
      <c r="AB164" s="324">
        <f t="shared" si="11"/>
        <v>4899.9108219735699</v>
      </c>
      <c r="AC164" s="324">
        <f t="shared" si="11"/>
        <v>4777.4130514242306</v>
      </c>
      <c r="AD164" s="324">
        <f t="shared" si="11"/>
        <v>4657.9777251386249</v>
      </c>
      <c r="AE164" s="324">
        <f t="shared" si="11"/>
        <v>4541.5282820101593</v>
      </c>
      <c r="AF164" s="324">
        <f t="shared" si="11"/>
        <v>4427.9900749599055</v>
      </c>
      <c r="AG164" s="324">
        <f t="shared" si="11"/>
        <v>4317.2903230859074</v>
      </c>
      <c r="AH164" s="324">
        <f t="shared" si="11"/>
        <v>4209.3580650087597</v>
      </c>
      <c r="AI164" s="324">
        <f t="shared" si="11"/>
        <v>4104.124113383541</v>
      </c>
      <c r="AJ164" s="324">
        <f t="shared" si="11"/>
        <v>4001.5210105489523</v>
      </c>
      <c r="AK164" s="324">
        <f t="shared" si="14"/>
        <v>3901.4829852852286</v>
      </c>
      <c r="AL164" s="324">
        <f t="shared" si="14"/>
        <v>3803.9459106530976</v>
      </c>
      <c r="AM164" s="324">
        <f t="shared" si="14"/>
        <v>3708.8472628867703</v>
      </c>
      <c r="AN164" s="324">
        <f t="shared" si="14"/>
        <v>3616.1260813146009</v>
      </c>
      <c r="AO164" s="324">
        <f t="shared" si="14"/>
        <v>3525.722929281736</v>
      </c>
      <c r="AP164" s="324"/>
      <c r="AQ164" s="324"/>
      <c r="AR164" s="324"/>
      <c r="AS164" s="324"/>
      <c r="AT164" s="324"/>
      <c r="AU164" s="324"/>
      <c r="AV164" s="324"/>
      <c r="AW164" s="324"/>
      <c r="AX164" s="324"/>
      <c r="AY164" s="324"/>
      <c r="AZ164" s="324"/>
      <c r="BA164" s="324"/>
      <c r="BB164" s="324"/>
      <c r="BC164" s="324"/>
      <c r="BD164" s="324"/>
      <c r="BE164" s="324"/>
      <c r="BF164" s="324"/>
    </row>
    <row r="165" spans="1:61" x14ac:dyDescent="0.25">
      <c r="A165" t="s">
        <v>429</v>
      </c>
      <c r="U165" s="306">
        <f>$B$7*10</f>
        <v>6000</v>
      </c>
      <c r="V165" s="324">
        <f>U165*(1-$B$10)</f>
        <v>5850</v>
      </c>
      <c r="W165" s="324">
        <f t="shared" si="13"/>
        <v>5703.75</v>
      </c>
      <c r="X165" s="324">
        <f t="shared" si="13"/>
        <v>5561.15625</v>
      </c>
      <c r="Y165" s="324">
        <f t="shared" si="13"/>
        <v>5422.1273437499995</v>
      </c>
      <c r="Z165" s="324">
        <f t="shared" si="13"/>
        <v>5286.5741601562495</v>
      </c>
      <c r="AA165" s="324">
        <f t="shared" si="13"/>
        <v>5154.4098061523428</v>
      </c>
      <c r="AB165" s="324">
        <f t="shared" si="11"/>
        <v>5025.5495609985337</v>
      </c>
      <c r="AC165" s="324">
        <f t="shared" si="11"/>
        <v>4899.9108219735699</v>
      </c>
      <c r="AD165" s="324">
        <f t="shared" si="11"/>
        <v>4777.4130514242306</v>
      </c>
      <c r="AE165" s="324">
        <f t="shared" si="11"/>
        <v>4657.9777251386249</v>
      </c>
      <c r="AF165" s="324">
        <f t="shared" si="11"/>
        <v>4541.5282820101593</v>
      </c>
      <c r="AG165" s="324">
        <f t="shared" si="11"/>
        <v>4427.9900749599055</v>
      </c>
      <c r="AH165" s="324">
        <f t="shared" si="11"/>
        <v>4317.2903230859074</v>
      </c>
      <c r="AI165" s="324">
        <f t="shared" si="11"/>
        <v>4209.3580650087597</v>
      </c>
      <c r="AJ165" s="324">
        <f t="shared" si="11"/>
        <v>4104.124113383541</v>
      </c>
      <c r="AK165" s="324">
        <f t="shared" si="14"/>
        <v>4001.5210105489523</v>
      </c>
      <c r="AL165" s="324">
        <f t="shared" si="14"/>
        <v>3901.4829852852286</v>
      </c>
      <c r="AM165" s="324">
        <f t="shared" si="14"/>
        <v>3803.9459106530976</v>
      </c>
      <c r="AN165" s="324">
        <f t="shared" si="14"/>
        <v>3708.8472628867703</v>
      </c>
      <c r="AO165" s="324">
        <f t="shared" si="14"/>
        <v>3616.1260813146009</v>
      </c>
      <c r="AP165" s="324"/>
      <c r="AQ165" s="324"/>
      <c r="AR165" s="324"/>
      <c r="AS165" s="324"/>
      <c r="AT165" s="324"/>
      <c r="AU165" s="324"/>
      <c r="AV165" s="324"/>
      <c r="AW165" s="324"/>
      <c r="AX165" s="324"/>
      <c r="AY165" s="324"/>
      <c r="AZ165" s="324"/>
      <c r="BA165" s="324"/>
      <c r="BB165" s="324"/>
      <c r="BC165" s="324"/>
      <c r="BD165" s="324"/>
      <c r="BE165" s="324"/>
      <c r="BF165" s="324"/>
      <c r="BG165" s="324"/>
    </row>
    <row r="166" spans="1:61" x14ac:dyDescent="0.25">
      <c r="A166" t="s">
        <v>430</v>
      </c>
      <c r="V166" s="306">
        <f>$B$7*10</f>
        <v>6000</v>
      </c>
      <c r="W166" s="324">
        <f>V166*(1-$B$10)</f>
        <v>5850</v>
      </c>
      <c r="X166" s="324">
        <f t="shared" si="13"/>
        <v>5703.75</v>
      </c>
      <c r="Y166" s="324">
        <f t="shared" si="13"/>
        <v>5561.15625</v>
      </c>
      <c r="Z166" s="324">
        <f t="shared" si="13"/>
        <v>5422.1273437499995</v>
      </c>
      <c r="AA166" s="324">
        <f t="shared" si="13"/>
        <v>5286.5741601562495</v>
      </c>
      <c r="AB166" s="324">
        <f t="shared" si="11"/>
        <v>5154.4098061523428</v>
      </c>
      <c r="AC166" s="324">
        <f t="shared" si="11"/>
        <v>5025.5495609985337</v>
      </c>
      <c r="AD166" s="324">
        <f t="shared" si="11"/>
        <v>4899.9108219735699</v>
      </c>
      <c r="AE166" s="324">
        <f t="shared" si="11"/>
        <v>4777.4130514242306</v>
      </c>
      <c r="AF166" s="324">
        <f t="shared" si="11"/>
        <v>4657.9777251386249</v>
      </c>
      <c r="AG166" s="324">
        <f t="shared" si="11"/>
        <v>4541.5282820101593</v>
      </c>
      <c r="AH166" s="324">
        <f t="shared" si="11"/>
        <v>4427.9900749599055</v>
      </c>
      <c r="AI166" s="324">
        <f t="shared" si="11"/>
        <v>4317.2903230859074</v>
      </c>
      <c r="AJ166" s="324">
        <f t="shared" si="11"/>
        <v>4209.3580650087597</v>
      </c>
      <c r="AK166" s="324">
        <f t="shared" si="14"/>
        <v>4104.124113383541</v>
      </c>
      <c r="AL166" s="324">
        <f t="shared" si="14"/>
        <v>4001.5210105489523</v>
      </c>
      <c r="AM166" s="324">
        <f t="shared" si="14"/>
        <v>3901.4829852852286</v>
      </c>
      <c r="AN166" s="324">
        <f t="shared" si="14"/>
        <v>3803.9459106530976</v>
      </c>
      <c r="AO166" s="324">
        <f t="shared" si="14"/>
        <v>3708.8472628867703</v>
      </c>
      <c r="AP166" s="324"/>
      <c r="AQ166" s="324"/>
      <c r="AR166" s="324"/>
      <c r="AS166" s="324"/>
      <c r="AT166" s="324"/>
      <c r="AU166" s="324"/>
      <c r="AV166" s="324"/>
      <c r="AW166" s="324"/>
      <c r="AX166" s="324"/>
      <c r="AY166" s="324"/>
      <c r="AZ166" s="324"/>
      <c r="BA166" s="324"/>
      <c r="BB166" s="324"/>
      <c r="BC166" s="324"/>
      <c r="BD166" s="324"/>
      <c r="BE166" s="324"/>
      <c r="BF166" s="324"/>
      <c r="BG166" s="324"/>
      <c r="BH166" s="324"/>
    </row>
    <row r="167" spans="1:61" x14ac:dyDescent="0.25">
      <c r="A167" t="s">
        <v>431</v>
      </c>
      <c r="W167" s="306">
        <f>$B$7*10</f>
        <v>6000</v>
      </c>
      <c r="X167" s="324">
        <f>W167*(1-$B$10)</f>
        <v>5850</v>
      </c>
      <c r="Y167" s="324">
        <f t="shared" si="13"/>
        <v>5703.75</v>
      </c>
      <c r="Z167" s="324">
        <f t="shared" si="13"/>
        <v>5561.15625</v>
      </c>
      <c r="AA167" s="324">
        <f t="shared" si="13"/>
        <v>5422.1273437499995</v>
      </c>
      <c r="AB167" s="324">
        <f t="shared" si="11"/>
        <v>5286.5741601562495</v>
      </c>
      <c r="AC167" s="324">
        <f t="shared" si="11"/>
        <v>5154.4098061523428</v>
      </c>
      <c r="AD167" s="324">
        <f t="shared" si="11"/>
        <v>5025.5495609985337</v>
      </c>
      <c r="AE167" s="324">
        <f t="shared" si="11"/>
        <v>4899.9108219735699</v>
      </c>
      <c r="AF167" s="324">
        <f t="shared" si="11"/>
        <v>4777.4130514242306</v>
      </c>
      <c r="AG167" s="324">
        <f t="shared" si="11"/>
        <v>4657.9777251386249</v>
      </c>
      <c r="AH167" s="324">
        <f t="shared" si="11"/>
        <v>4541.5282820101593</v>
      </c>
      <c r="AI167" s="324">
        <f t="shared" si="11"/>
        <v>4427.9900749599055</v>
      </c>
      <c r="AJ167" s="324">
        <f t="shared" si="11"/>
        <v>4317.2903230859074</v>
      </c>
      <c r="AK167" s="324">
        <f t="shared" si="14"/>
        <v>4209.3580650087597</v>
      </c>
      <c r="AL167" s="324">
        <f t="shared" si="14"/>
        <v>4104.124113383541</v>
      </c>
      <c r="AM167" s="324">
        <f t="shared" si="14"/>
        <v>4001.5210105489523</v>
      </c>
      <c r="AN167" s="324">
        <f t="shared" si="14"/>
        <v>3901.4829852852286</v>
      </c>
      <c r="AO167" s="324">
        <f t="shared" si="14"/>
        <v>3803.9459106530976</v>
      </c>
      <c r="AP167" s="324"/>
      <c r="AQ167" s="324"/>
      <c r="AR167" s="324"/>
      <c r="AS167" s="324"/>
      <c r="AT167" s="324"/>
      <c r="AU167" s="324"/>
      <c r="AV167" s="324"/>
      <c r="AW167" s="324"/>
      <c r="AX167" s="324"/>
      <c r="AY167" s="324"/>
      <c r="AZ167" s="324"/>
      <c r="BA167" s="324"/>
      <c r="BB167" s="324"/>
      <c r="BC167" s="324"/>
      <c r="BD167" s="324"/>
      <c r="BE167" s="324"/>
      <c r="BF167" s="324"/>
      <c r="BG167" s="324"/>
      <c r="BH167" s="324"/>
      <c r="BI167" s="324"/>
    </row>
    <row r="168" spans="1:61" x14ac:dyDescent="0.25">
      <c r="A168" t="s">
        <v>432</v>
      </c>
      <c r="X168" s="306">
        <f>$B$7*10</f>
        <v>6000</v>
      </c>
      <c r="Y168" s="324">
        <f>X168*(1-$B$10)</f>
        <v>5850</v>
      </c>
      <c r="Z168" s="324">
        <f t="shared" si="14"/>
        <v>5703.75</v>
      </c>
      <c r="AA168" s="324">
        <f t="shared" si="14"/>
        <v>5561.15625</v>
      </c>
      <c r="AB168" s="324">
        <f t="shared" si="14"/>
        <v>5422.1273437499995</v>
      </c>
      <c r="AC168" s="324">
        <f t="shared" si="14"/>
        <v>5286.5741601562495</v>
      </c>
      <c r="AD168" s="324">
        <f t="shared" si="14"/>
        <v>5154.4098061523428</v>
      </c>
      <c r="AE168" s="324">
        <f t="shared" si="14"/>
        <v>5025.5495609985337</v>
      </c>
      <c r="AF168" s="324">
        <f t="shared" si="14"/>
        <v>4899.9108219735699</v>
      </c>
      <c r="AG168" s="324">
        <f t="shared" si="14"/>
        <v>4777.4130514242306</v>
      </c>
      <c r="AH168" s="324">
        <f t="shared" si="14"/>
        <v>4657.9777251386249</v>
      </c>
      <c r="AI168" s="324">
        <f t="shared" si="14"/>
        <v>4541.5282820101593</v>
      </c>
      <c r="AJ168" s="324">
        <f t="shared" si="14"/>
        <v>4427.9900749599055</v>
      </c>
      <c r="AK168" s="324">
        <f t="shared" si="14"/>
        <v>4317.2903230859074</v>
      </c>
      <c r="AL168" s="324">
        <f t="shared" si="14"/>
        <v>4209.3580650087597</v>
      </c>
      <c r="AM168" s="324">
        <f t="shared" si="14"/>
        <v>4104.124113383541</v>
      </c>
      <c r="AN168" s="324">
        <f t="shared" si="14"/>
        <v>4001.5210105489523</v>
      </c>
      <c r="AO168" s="324">
        <f t="shared" si="14"/>
        <v>3901.4829852852286</v>
      </c>
      <c r="AP168" s="324"/>
      <c r="AQ168" s="324"/>
      <c r="AR168" s="324"/>
      <c r="AS168" s="324"/>
      <c r="AT168" s="324"/>
      <c r="AU168" s="324"/>
      <c r="AV168" s="324"/>
      <c r="AW168" s="324"/>
      <c r="AX168" s="324"/>
      <c r="AY168" s="324"/>
      <c r="AZ168" s="324"/>
      <c r="BA168" s="324"/>
      <c r="BB168" s="324"/>
      <c r="BC168" s="324"/>
      <c r="BD168" s="324"/>
      <c r="BE168" s="324"/>
      <c r="BF168" s="324"/>
      <c r="BG168" s="324"/>
      <c r="BH168" s="324"/>
      <c r="BI168" s="324"/>
    </row>
    <row r="169" spans="1:61" x14ac:dyDescent="0.25">
      <c r="A169" t="s">
        <v>433</v>
      </c>
      <c r="Y169" s="306">
        <f>$B$7*10</f>
        <v>6000</v>
      </c>
      <c r="Z169" s="324">
        <f>Y169*(1-$B$10)</f>
        <v>5850</v>
      </c>
      <c r="AA169" s="324">
        <f t="shared" si="14"/>
        <v>5703.75</v>
      </c>
      <c r="AB169" s="324">
        <f t="shared" si="14"/>
        <v>5561.15625</v>
      </c>
      <c r="AC169" s="324">
        <f t="shared" si="14"/>
        <v>5422.1273437499995</v>
      </c>
      <c r="AD169" s="324">
        <f t="shared" si="14"/>
        <v>5286.5741601562495</v>
      </c>
      <c r="AE169" s="324">
        <f t="shared" si="14"/>
        <v>5154.4098061523428</v>
      </c>
      <c r="AF169" s="324">
        <f t="shared" si="14"/>
        <v>5025.5495609985337</v>
      </c>
      <c r="AG169" s="324">
        <f t="shared" si="14"/>
        <v>4899.9108219735699</v>
      </c>
      <c r="AH169" s="324">
        <f t="shared" si="14"/>
        <v>4777.4130514242306</v>
      </c>
      <c r="AI169" s="324">
        <f t="shared" si="14"/>
        <v>4657.9777251386249</v>
      </c>
      <c r="AJ169" s="324">
        <f t="shared" si="14"/>
        <v>4541.5282820101593</v>
      </c>
      <c r="AK169" s="324">
        <f t="shared" si="14"/>
        <v>4427.9900749599055</v>
      </c>
      <c r="AL169" s="324">
        <f t="shared" si="14"/>
        <v>4317.2903230859074</v>
      </c>
      <c r="AM169" s="324">
        <f t="shared" si="14"/>
        <v>4209.3580650087597</v>
      </c>
      <c r="AN169" s="324">
        <f t="shared" si="14"/>
        <v>4104.124113383541</v>
      </c>
      <c r="AO169" s="324">
        <f t="shared" si="14"/>
        <v>4001.5210105489523</v>
      </c>
      <c r="AP169" s="324"/>
      <c r="AQ169" s="324"/>
      <c r="AR169" s="324"/>
      <c r="AS169" s="324"/>
      <c r="AT169" s="324"/>
      <c r="AU169" s="324"/>
      <c r="AV169" s="324"/>
      <c r="AW169" s="324"/>
      <c r="AX169" s="324"/>
      <c r="AY169" s="324"/>
      <c r="AZ169" s="324"/>
      <c r="BA169" s="324"/>
      <c r="BB169" s="324"/>
      <c r="BC169" s="324"/>
      <c r="BD169" s="324"/>
      <c r="BE169" s="324"/>
      <c r="BF169" s="324"/>
      <c r="BG169" s="324"/>
      <c r="BH169" s="324"/>
      <c r="BI169" s="324"/>
    </row>
    <row r="170" spans="1:61" x14ac:dyDescent="0.25">
      <c r="A170" t="s">
        <v>434</v>
      </c>
      <c r="Z170" s="306">
        <f>$B$7*10</f>
        <v>6000</v>
      </c>
      <c r="AA170" s="324">
        <f>Z170*(1-$B$10)</f>
        <v>5850</v>
      </c>
      <c r="AB170" s="324">
        <f t="shared" si="14"/>
        <v>5703.75</v>
      </c>
      <c r="AC170" s="324">
        <f t="shared" si="14"/>
        <v>5561.15625</v>
      </c>
      <c r="AD170" s="324">
        <f t="shared" si="14"/>
        <v>5422.1273437499995</v>
      </c>
      <c r="AE170" s="324">
        <f t="shared" si="14"/>
        <v>5286.5741601562495</v>
      </c>
      <c r="AF170" s="324">
        <f t="shared" si="14"/>
        <v>5154.4098061523428</v>
      </c>
      <c r="AG170" s="324">
        <f t="shared" si="14"/>
        <v>5025.5495609985337</v>
      </c>
      <c r="AH170" s="324">
        <f t="shared" si="14"/>
        <v>4899.9108219735699</v>
      </c>
      <c r="AI170" s="324">
        <f t="shared" si="14"/>
        <v>4777.4130514242306</v>
      </c>
      <c r="AJ170" s="324">
        <f t="shared" si="14"/>
        <v>4657.9777251386249</v>
      </c>
      <c r="AK170" s="324">
        <f t="shared" si="14"/>
        <v>4541.5282820101593</v>
      </c>
      <c r="AL170" s="324">
        <f t="shared" si="14"/>
        <v>4427.9900749599055</v>
      </c>
      <c r="AM170" s="324">
        <f t="shared" si="14"/>
        <v>4317.2903230859074</v>
      </c>
      <c r="AN170" s="324">
        <f t="shared" si="14"/>
        <v>4209.3580650087597</v>
      </c>
      <c r="AO170" s="324">
        <f t="shared" si="14"/>
        <v>4104.124113383541</v>
      </c>
      <c r="AP170" s="324"/>
      <c r="AQ170" s="324"/>
      <c r="AR170" s="324"/>
      <c r="AS170" s="324"/>
      <c r="AT170" s="324"/>
      <c r="AU170" s="324"/>
      <c r="AV170" s="324"/>
      <c r="AW170" s="324"/>
      <c r="AX170" s="324"/>
      <c r="AY170" s="324"/>
      <c r="AZ170" s="324"/>
      <c r="BA170" s="324"/>
      <c r="BB170" s="324"/>
      <c r="BC170" s="324"/>
      <c r="BD170" s="324"/>
      <c r="BE170" s="324"/>
      <c r="BF170" s="324"/>
      <c r="BG170" s="324"/>
      <c r="BH170" s="324"/>
      <c r="BI170" s="324"/>
    </row>
    <row r="171" spans="1:61" x14ac:dyDescent="0.25">
      <c r="A171" t="s">
        <v>435</v>
      </c>
      <c r="AA171" s="306">
        <f>$B$7*10</f>
        <v>6000</v>
      </c>
      <c r="AB171" s="324">
        <f>AA171*(1-$B$10)</f>
        <v>5850</v>
      </c>
      <c r="AC171" s="324">
        <f t="shared" si="14"/>
        <v>5703.75</v>
      </c>
      <c r="AD171" s="324">
        <f t="shared" si="14"/>
        <v>5561.15625</v>
      </c>
      <c r="AE171" s="324">
        <f t="shared" si="14"/>
        <v>5422.1273437499995</v>
      </c>
      <c r="AF171" s="324">
        <f t="shared" si="14"/>
        <v>5286.5741601562495</v>
      </c>
      <c r="AG171" s="324">
        <f t="shared" si="14"/>
        <v>5154.4098061523428</v>
      </c>
      <c r="AH171" s="324">
        <f t="shared" si="14"/>
        <v>5025.5495609985337</v>
      </c>
      <c r="AI171" s="324">
        <f t="shared" si="14"/>
        <v>4899.9108219735699</v>
      </c>
      <c r="AJ171" s="324">
        <f t="shared" si="14"/>
        <v>4777.4130514242306</v>
      </c>
      <c r="AK171" s="324">
        <f t="shared" si="14"/>
        <v>4657.9777251386249</v>
      </c>
      <c r="AL171" s="324">
        <f t="shared" si="14"/>
        <v>4541.5282820101593</v>
      </c>
      <c r="AM171" s="324">
        <f t="shared" si="14"/>
        <v>4427.9900749599055</v>
      </c>
      <c r="AN171" s="324">
        <f t="shared" si="14"/>
        <v>4317.2903230859074</v>
      </c>
      <c r="AO171" s="324">
        <f t="shared" si="14"/>
        <v>4209.3580650087597</v>
      </c>
      <c r="AP171" s="324"/>
      <c r="AQ171" s="324"/>
      <c r="AR171" s="324"/>
      <c r="AS171" s="324"/>
      <c r="AT171" s="324"/>
      <c r="AU171" s="324"/>
      <c r="AV171" s="324"/>
      <c r="AW171" s="324"/>
      <c r="AX171" s="324"/>
      <c r="AY171" s="324"/>
      <c r="AZ171" s="324"/>
      <c r="BA171" s="324"/>
      <c r="BB171" s="324"/>
      <c r="BC171" s="324"/>
      <c r="BD171" s="324"/>
      <c r="BE171" s="324"/>
      <c r="BF171" s="324"/>
      <c r="BG171" s="324"/>
      <c r="BH171" s="324"/>
      <c r="BI171" s="324"/>
    </row>
    <row r="172" spans="1:61" x14ac:dyDescent="0.25">
      <c r="A172" t="s">
        <v>436</v>
      </c>
      <c r="AB172" s="306">
        <f>$B$7*10</f>
        <v>6000</v>
      </c>
      <c r="AC172" s="324">
        <f>AB172*(1-$B$10)</f>
        <v>5850</v>
      </c>
      <c r="AD172" s="324">
        <f t="shared" si="14"/>
        <v>5703.75</v>
      </c>
      <c r="AE172" s="324">
        <f t="shared" si="14"/>
        <v>5561.15625</v>
      </c>
      <c r="AF172" s="324">
        <f t="shared" si="14"/>
        <v>5422.1273437499995</v>
      </c>
      <c r="AG172" s="324">
        <f t="shared" si="14"/>
        <v>5286.5741601562495</v>
      </c>
      <c r="AH172" s="324">
        <f t="shared" si="14"/>
        <v>5154.4098061523428</v>
      </c>
      <c r="AI172" s="324">
        <f t="shared" si="14"/>
        <v>5025.5495609985337</v>
      </c>
      <c r="AJ172" s="324">
        <f t="shared" si="14"/>
        <v>4899.9108219735699</v>
      </c>
      <c r="AK172" s="324">
        <f t="shared" si="14"/>
        <v>4777.4130514242306</v>
      </c>
      <c r="AL172" s="324">
        <f t="shared" si="14"/>
        <v>4657.9777251386249</v>
      </c>
      <c r="AM172" s="324">
        <f t="shared" si="14"/>
        <v>4541.5282820101593</v>
      </c>
      <c r="AN172" s="324">
        <f t="shared" si="14"/>
        <v>4427.9900749599055</v>
      </c>
      <c r="AO172" s="324">
        <f t="shared" si="14"/>
        <v>4317.2903230859074</v>
      </c>
      <c r="AP172" s="324"/>
      <c r="AQ172" s="324"/>
      <c r="AR172" s="324"/>
      <c r="AS172" s="324"/>
      <c r="AT172" s="324"/>
      <c r="AU172" s="324"/>
      <c r="AV172" s="324"/>
      <c r="AW172" s="324"/>
      <c r="AX172" s="324"/>
      <c r="AY172" s="324"/>
      <c r="AZ172" s="324"/>
      <c r="BA172" s="324"/>
      <c r="BB172" s="324"/>
      <c r="BC172" s="324"/>
      <c r="BD172" s="324"/>
      <c r="BE172" s="324"/>
      <c r="BF172" s="324"/>
      <c r="BG172" s="324"/>
      <c r="BH172" s="324"/>
      <c r="BI172" s="324"/>
    </row>
    <row r="173" spans="1:61" x14ac:dyDescent="0.25">
      <c r="A173" t="s">
        <v>437</v>
      </c>
      <c r="AC173" s="306">
        <f>$B$7*10</f>
        <v>6000</v>
      </c>
      <c r="AD173" s="324">
        <f>AC173*(1-$B$10)</f>
        <v>5850</v>
      </c>
      <c r="AE173" s="324">
        <f t="shared" si="14"/>
        <v>5703.75</v>
      </c>
      <c r="AF173" s="324">
        <f t="shared" si="14"/>
        <v>5561.15625</v>
      </c>
      <c r="AG173" s="324">
        <f t="shared" si="14"/>
        <v>5422.1273437499995</v>
      </c>
      <c r="AH173" s="324">
        <f t="shared" si="14"/>
        <v>5286.5741601562495</v>
      </c>
      <c r="AI173" s="324">
        <f t="shared" si="14"/>
        <v>5154.4098061523428</v>
      </c>
      <c r="AJ173" s="324">
        <f t="shared" si="14"/>
        <v>5025.5495609985337</v>
      </c>
      <c r="AK173" s="324">
        <f t="shared" si="14"/>
        <v>4899.9108219735699</v>
      </c>
      <c r="AL173" s="324">
        <f t="shared" si="14"/>
        <v>4777.4130514242306</v>
      </c>
      <c r="AM173" s="324">
        <f t="shared" si="14"/>
        <v>4657.9777251386249</v>
      </c>
      <c r="AN173" s="324">
        <f t="shared" si="14"/>
        <v>4541.5282820101593</v>
      </c>
      <c r="AO173" s="324">
        <f t="shared" si="14"/>
        <v>4427.9900749599055</v>
      </c>
      <c r="AP173" s="324"/>
    </row>
    <row r="174" spans="1:61" x14ac:dyDescent="0.25">
      <c r="A174" t="s">
        <v>438</v>
      </c>
      <c r="AD174" s="306">
        <f>$B$7*10</f>
        <v>6000</v>
      </c>
      <c r="AE174" s="324">
        <f>AD174*(1-$B$10)</f>
        <v>5850</v>
      </c>
      <c r="AF174" s="324">
        <f t="shared" si="14"/>
        <v>5703.75</v>
      </c>
      <c r="AG174" s="324">
        <f t="shared" si="14"/>
        <v>5561.15625</v>
      </c>
      <c r="AH174" s="324">
        <f t="shared" si="14"/>
        <v>5422.1273437499995</v>
      </c>
      <c r="AI174" s="324">
        <f t="shared" si="14"/>
        <v>5286.5741601562495</v>
      </c>
      <c r="AJ174" s="324">
        <f t="shared" si="14"/>
        <v>5154.4098061523428</v>
      </c>
      <c r="AK174" s="324">
        <f t="shared" si="14"/>
        <v>5025.5495609985337</v>
      </c>
      <c r="AL174" s="324">
        <f t="shared" si="14"/>
        <v>4899.9108219735699</v>
      </c>
      <c r="AM174" s="324">
        <f t="shared" si="14"/>
        <v>4777.4130514242306</v>
      </c>
      <c r="AN174" s="324">
        <f t="shared" si="14"/>
        <v>4657.9777251386249</v>
      </c>
      <c r="AO174" s="324">
        <f t="shared" si="14"/>
        <v>4541.5282820101593</v>
      </c>
      <c r="AP174" s="324"/>
      <c r="AQ174" s="324"/>
    </row>
    <row r="175" spans="1:61" x14ac:dyDescent="0.25">
      <c r="A175" t="s">
        <v>439</v>
      </c>
      <c r="AE175" s="306">
        <f>$B$7*10</f>
        <v>6000</v>
      </c>
      <c r="AF175" s="324">
        <f>AE175*(1-$B$10)</f>
        <v>5850</v>
      </c>
      <c r="AG175" s="324">
        <f t="shared" si="14"/>
        <v>5703.75</v>
      </c>
      <c r="AH175" s="324">
        <f t="shared" si="14"/>
        <v>5561.15625</v>
      </c>
      <c r="AI175" s="324">
        <f t="shared" si="14"/>
        <v>5422.1273437499995</v>
      </c>
      <c r="AJ175" s="324">
        <f t="shared" si="14"/>
        <v>5286.5741601562495</v>
      </c>
      <c r="AK175" s="324">
        <f t="shared" si="14"/>
        <v>5154.4098061523428</v>
      </c>
      <c r="AL175" s="324">
        <f t="shared" si="14"/>
        <v>5025.5495609985337</v>
      </c>
      <c r="AM175" s="324">
        <f t="shared" si="14"/>
        <v>4899.9108219735699</v>
      </c>
      <c r="AN175" s="324">
        <f t="shared" si="14"/>
        <v>4777.4130514242306</v>
      </c>
      <c r="AO175" s="324">
        <f t="shared" si="14"/>
        <v>4657.9777251386249</v>
      </c>
      <c r="AP175" s="324"/>
      <c r="AQ175" s="324"/>
      <c r="AR175" s="324"/>
    </row>
    <row r="176" spans="1:61" x14ac:dyDescent="0.25">
      <c r="A176" t="s">
        <v>440</v>
      </c>
      <c r="AF176" s="306">
        <f>$B$7*10</f>
        <v>6000</v>
      </c>
      <c r="AG176" s="324">
        <f>AF176*(1-$B$10)</f>
        <v>5850</v>
      </c>
      <c r="AH176" s="324">
        <f t="shared" si="14"/>
        <v>5703.75</v>
      </c>
      <c r="AI176" s="324">
        <f t="shared" si="14"/>
        <v>5561.15625</v>
      </c>
      <c r="AJ176" s="324">
        <f t="shared" si="14"/>
        <v>5422.1273437499995</v>
      </c>
      <c r="AK176" s="324">
        <f t="shared" si="14"/>
        <v>5286.5741601562495</v>
      </c>
      <c r="AL176" s="324">
        <f t="shared" si="14"/>
        <v>5154.4098061523428</v>
      </c>
      <c r="AM176" s="324">
        <f t="shared" si="14"/>
        <v>5025.5495609985337</v>
      </c>
      <c r="AN176" s="324">
        <f t="shared" si="14"/>
        <v>4899.9108219735699</v>
      </c>
      <c r="AO176" s="324">
        <f t="shared" si="14"/>
        <v>4777.4130514242306</v>
      </c>
      <c r="AP176" s="324"/>
      <c r="AQ176" s="324"/>
      <c r="AR176" s="324"/>
      <c r="AS176" s="324"/>
    </row>
    <row r="177" spans="1:53" x14ac:dyDescent="0.25">
      <c r="A177" t="s">
        <v>441</v>
      </c>
      <c r="AG177" s="306">
        <f>$B$7*10</f>
        <v>6000</v>
      </c>
      <c r="AH177" s="324">
        <f>AG177*(1-$B$10)</f>
        <v>5850</v>
      </c>
      <c r="AI177" s="324">
        <f t="shared" si="14"/>
        <v>5703.75</v>
      </c>
      <c r="AJ177" s="324">
        <f t="shared" si="14"/>
        <v>5561.15625</v>
      </c>
      <c r="AK177" s="324">
        <f t="shared" si="14"/>
        <v>5422.1273437499995</v>
      </c>
      <c r="AL177" s="324">
        <f t="shared" si="14"/>
        <v>5286.5741601562495</v>
      </c>
      <c r="AM177" s="324">
        <f t="shared" si="14"/>
        <v>5154.4098061523428</v>
      </c>
      <c r="AN177" s="324">
        <f t="shared" si="14"/>
        <v>5025.5495609985337</v>
      </c>
      <c r="AO177" s="324">
        <f t="shared" si="14"/>
        <v>4899.9108219735699</v>
      </c>
      <c r="AP177" s="324"/>
      <c r="AQ177" s="324"/>
      <c r="AR177" s="324"/>
      <c r="AS177" s="324"/>
      <c r="AT177" s="324"/>
    </row>
    <row r="178" spans="1:53" x14ac:dyDescent="0.25">
      <c r="A178" t="s">
        <v>442</v>
      </c>
      <c r="AH178" s="306">
        <f>$B$7*10</f>
        <v>6000</v>
      </c>
      <c r="AI178" s="324">
        <f>AH178*(1-$B$10)</f>
        <v>5850</v>
      </c>
      <c r="AJ178" s="324">
        <f t="shared" si="14"/>
        <v>5703.75</v>
      </c>
      <c r="AK178" s="324">
        <f t="shared" si="14"/>
        <v>5561.15625</v>
      </c>
      <c r="AL178" s="324">
        <f t="shared" si="14"/>
        <v>5422.1273437499995</v>
      </c>
      <c r="AM178" s="324">
        <f t="shared" si="14"/>
        <v>5286.5741601562495</v>
      </c>
      <c r="AN178" s="324">
        <f t="shared" si="14"/>
        <v>5154.4098061523428</v>
      </c>
      <c r="AO178" s="324">
        <f t="shared" si="14"/>
        <v>5025.5495609985337</v>
      </c>
      <c r="AP178" s="324"/>
      <c r="AQ178" s="324"/>
      <c r="AR178" s="324"/>
      <c r="AS178" s="324"/>
      <c r="AT178" s="324"/>
      <c r="AU178" s="324"/>
    </row>
    <row r="179" spans="1:53" x14ac:dyDescent="0.25">
      <c r="A179" t="s">
        <v>443</v>
      </c>
      <c r="AI179" s="306">
        <f>$B$7*10</f>
        <v>6000</v>
      </c>
      <c r="AJ179" s="324">
        <f>AI179*(1-$B$10)</f>
        <v>5850</v>
      </c>
      <c r="AK179" s="324">
        <f t="shared" ref="AK179:AO183" si="15">AJ179*(1-$B$10)</f>
        <v>5703.75</v>
      </c>
      <c r="AL179" s="324">
        <f t="shared" si="15"/>
        <v>5561.15625</v>
      </c>
      <c r="AM179" s="324">
        <f t="shared" si="15"/>
        <v>5422.1273437499995</v>
      </c>
      <c r="AN179" s="324">
        <f t="shared" si="15"/>
        <v>5286.5741601562495</v>
      </c>
      <c r="AO179" s="324">
        <f t="shared" si="15"/>
        <v>5154.4098061523428</v>
      </c>
      <c r="AP179" s="324"/>
      <c r="AQ179" s="324"/>
      <c r="AR179" s="324"/>
      <c r="AS179" s="324"/>
      <c r="AT179" s="324"/>
      <c r="AU179" s="324"/>
      <c r="AV179" s="324"/>
    </row>
    <row r="180" spans="1:53" x14ac:dyDescent="0.25">
      <c r="A180" t="s">
        <v>444</v>
      </c>
      <c r="AJ180" s="306">
        <f>$B$7*10</f>
        <v>6000</v>
      </c>
      <c r="AK180" s="324">
        <f>AJ180*(1-$B$10)</f>
        <v>5850</v>
      </c>
      <c r="AL180" s="324">
        <f t="shared" si="15"/>
        <v>5703.75</v>
      </c>
      <c r="AM180" s="324">
        <f t="shared" si="15"/>
        <v>5561.15625</v>
      </c>
      <c r="AN180" s="324">
        <f t="shared" si="15"/>
        <v>5422.1273437499995</v>
      </c>
      <c r="AO180" s="324">
        <f t="shared" si="15"/>
        <v>5286.5741601562495</v>
      </c>
      <c r="AP180" s="324"/>
      <c r="AQ180" s="324"/>
      <c r="AR180" s="324"/>
      <c r="AS180" s="324"/>
      <c r="AT180" s="324"/>
      <c r="AU180" s="324"/>
      <c r="AV180" s="324"/>
      <c r="AW180" s="324"/>
    </row>
    <row r="181" spans="1:53" x14ac:dyDescent="0.25">
      <c r="A181" t="s">
        <v>445</v>
      </c>
      <c r="AK181" s="306">
        <f>$B$7*10</f>
        <v>6000</v>
      </c>
      <c r="AL181" s="324">
        <f>AK181*(1-$B$10)</f>
        <v>5850</v>
      </c>
      <c r="AM181" s="324">
        <f t="shared" si="15"/>
        <v>5703.75</v>
      </c>
      <c r="AN181" s="324">
        <f t="shared" si="15"/>
        <v>5561.15625</v>
      </c>
      <c r="AO181" s="324">
        <f t="shared" si="15"/>
        <v>5422.1273437499995</v>
      </c>
      <c r="AP181" s="324"/>
      <c r="AQ181" s="324"/>
      <c r="AR181" s="324"/>
      <c r="AS181" s="324"/>
      <c r="AT181" s="324"/>
      <c r="AU181" s="324"/>
      <c r="AV181" s="324"/>
      <c r="AW181" s="324"/>
      <c r="AX181" s="324"/>
    </row>
    <row r="182" spans="1:53" x14ac:dyDescent="0.25">
      <c r="A182" t="s">
        <v>446</v>
      </c>
      <c r="AL182" s="306">
        <f>$B$7*10</f>
        <v>6000</v>
      </c>
      <c r="AM182" s="324">
        <f>AL182*(1-$B$10)</f>
        <v>5850</v>
      </c>
      <c r="AN182" s="324">
        <f t="shared" si="15"/>
        <v>5703.75</v>
      </c>
      <c r="AO182" s="324">
        <f t="shared" si="15"/>
        <v>5561.15625</v>
      </c>
      <c r="AP182" s="324"/>
      <c r="AQ182" s="324"/>
      <c r="AR182" s="324"/>
      <c r="AS182" s="324"/>
      <c r="AT182" s="324"/>
      <c r="AU182" s="324"/>
      <c r="AV182" s="324"/>
      <c r="AW182" s="324"/>
      <c r="AX182" s="324"/>
      <c r="AY182" s="324"/>
    </row>
    <row r="183" spans="1:53" x14ac:dyDescent="0.25">
      <c r="A183" t="s">
        <v>447</v>
      </c>
      <c r="AM183" s="306">
        <f>$B$7*10</f>
        <v>6000</v>
      </c>
      <c r="AN183" s="324">
        <f>AM183*(1-$B$10)</f>
        <v>5850</v>
      </c>
      <c r="AO183" s="324">
        <f t="shared" si="15"/>
        <v>5703.75</v>
      </c>
      <c r="AP183" s="324"/>
      <c r="AQ183" s="324"/>
      <c r="AR183" s="324"/>
      <c r="AS183" s="324"/>
      <c r="AT183" s="324"/>
      <c r="AU183" s="324"/>
      <c r="AV183" s="324"/>
      <c r="AW183" s="324"/>
      <c r="AX183" s="324"/>
      <c r="AY183" s="324"/>
      <c r="AZ183" s="324"/>
    </row>
    <row r="184" spans="1:53" x14ac:dyDescent="0.25">
      <c r="A184" t="s">
        <v>448</v>
      </c>
      <c r="AN184" s="306">
        <f>$B$7*10</f>
        <v>6000</v>
      </c>
      <c r="AO184" s="324">
        <f>AN184*(1-$B$10)</f>
        <v>5850</v>
      </c>
      <c r="AP184" s="324"/>
      <c r="AQ184" s="324"/>
      <c r="AR184" s="324"/>
      <c r="AS184" s="324"/>
      <c r="AT184" s="324"/>
      <c r="AU184" s="324"/>
      <c r="AV184" s="324"/>
      <c r="AW184" s="324"/>
      <c r="AX184" s="324"/>
      <c r="AY184" s="324"/>
      <c r="AZ184" s="324"/>
      <c r="BA184" s="324"/>
    </row>
    <row r="185" spans="1:53" x14ac:dyDescent="0.25">
      <c r="A185" t="s">
        <v>449</v>
      </c>
      <c r="AO185" s="306">
        <f>$B$7*10</f>
        <v>6000</v>
      </c>
    </row>
  </sheetData>
  <hyperlinks>
    <hyperlink ref="A3" r:id="rId1"/>
  </hyperlinks>
  <pageMargins left="0.7" right="0.7" top="0.75" bottom="0.75" header="0.3" footer="0.3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2:C4"/>
  <sheetViews>
    <sheetView workbookViewId="0">
      <selection sqref="A1:XFD1048576"/>
    </sheetView>
  </sheetViews>
  <sheetFormatPr defaultColWidth="8.7109375" defaultRowHeight="15" x14ac:dyDescent="0.25"/>
  <cols>
    <col min="1" max="1" width="20.140625" bestFit="1" customWidth="1"/>
  </cols>
  <sheetData>
    <row r="2" spans="1:3" x14ac:dyDescent="0.25">
      <c r="B2" t="s">
        <v>327</v>
      </c>
      <c r="C2" t="s">
        <v>328</v>
      </c>
    </row>
    <row r="3" spans="1:3" x14ac:dyDescent="0.25">
      <c r="A3" t="s">
        <v>450</v>
      </c>
      <c r="B3" s="301">
        <v>-6000</v>
      </c>
    </row>
    <row r="4" spans="1:3" x14ac:dyDescent="0.25">
      <c r="A4" t="s">
        <v>451</v>
      </c>
      <c r="C4" s="301">
        <v>18000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"/>
  <sheetViews>
    <sheetView workbookViewId="0">
      <selection activeCell="R8" sqref="R8:R9"/>
    </sheetView>
  </sheetViews>
  <sheetFormatPr defaultColWidth="8.7109375" defaultRowHeight="15" x14ac:dyDescent="0.25"/>
  <sheetData/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64"/>
  <sheetViews>
    <sheetView workbookViewId="0">
      <selection sqref="A1:XFD1048576"/>
    </sheetView>
  </sheetViews>
  <sheetFormatPr defaultColWidth="8.7109375" defaultRowHeight="15" x14ac:dyDescent="0.25"/>
  <cols>
    <col min="1" max="1" width="4.7109375" customWidth="1"/>
    <col min="2" max="2" width="34.7109375" customWidth="1"/>
    <col min="3" max="3" width="9.42578125" hidden="1" customWidth="1"/>
    <col min="4" max="4" width="10.7109375" customWidth="1"/>
    <col min="5" max="5" width="10.28515625" customWidth="1"/>
    <col min="6" max="9" width="9.42578125" bestFit="1" customWidth="1"/>
    <col min="18" max="18" width="2.28515625" customWidth="1"/>
    <col min="23" max="23" width="9.140625" customWidth="1"/>
    <col min="24" max="24" width="2.7109375" customWidth="1"/>
    <col min="26" max="26" width="2" customWidth="1"/>
    <col min="29" max="29" width="2.140625" customWidth="1"/>
    <col min="32" max="32" width="2.7109375" customWidth="1"/>
  </cols>
  <sheetData>
    <row r="1" spans="1:32" ht="27" x14ac:dyDescent="0.5">
      <c r="A1" s="325" t="s">
        <v>452</v>
      </c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</row>
    <row r="2" spans="1:32" ht="18" thickBot="1" x14ac:dyDescent="0.35">
      <c r="A2" s="295" t="s">
        <v>453</v>
      </c>
      <c r="B2" s="295"/>
      <c r="C2" s="295"/>
      <c r="D2" s="295"/>
      <c r="E2" s="295"/>
      <c r="F2" s="295"/>
      <c r="G2" s="295"/>
      <c r="H2" s="295"/>
      <c r="I2" s="295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</row>
    <row r="3" spans="1:32" ht="18" thickTop="1" x14ac:dyDescent="0.3">
      <c r="A3" s="327"/>
      <c r="B3" s="327"/>
      <c r="C3" s="327"/>
      <c r="D3" s="327"/>
      <c r="E3" s="327"/>
      <c r="F3" s="327"/>
      <c r="G3" s="327"/>
      <c r="H3" s="327"/>
      <c r="I3" s="327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</row>
    <row r="4" spans="1:32" ht="17.25" x14ac:dyDescent="0.3">
      <c r="A4" s="328"/>
      <c r="B4" s="329" t="s">
        <v>310</v>
      </c>
      <c r="C4" s="294" t="s">
        <v>311</v>
      </c>
      <c r="D4" s="294" t="s">
        <v>311</v>
      </c>
      <c r="E4" s="328"/>
      <c r="F4" s="328"/>
      <c r="G4" s="328"/>
      <c r="H4" s="328"/>
      <c r="I4" s="330"/>
      <c r="J4" s="330"/>
      <c r="K4" s="330"/>
      <c r="L4" s="330"/>
      <c r="M4" s="330"/>
      <c r="N4" s="330"/>
      <c r="O4" s="330"/>
      <c r="P4" s="330"/>
      <c r="Q4" s="331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26"/>
    </row>
    <row r="5" spans="1:32" x14ac:dyDescent="0.25"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</row>
    <row r="6" spans="1:32" x14ac:dyDescent="0.25"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</row>
    <row r="7" spans="1:32" ht="15.75" thickBot="1" x14ac:dyDescent="0.3">
      <c r="A7" s="314" t="s">
        <v>454</v>
      </c>
      <c r="B7" s="314"/>
      <c r="C7" s="305" t="s">
        <v>455</v>
      </c>
      <c r="D7" s="305" t="s">
        <v>456</v>
      </c>
      <c r="E7" s="305" t="s">
        <v>457</v>
      </c>
      <c r="F7" s="305" t="s">
        <v>458</v>
      </c>
      <c r="G7" s="305" t="s">
        <v>459</v>
      </c>
      <c r="H7" s="305" t="s">
        <v>460</v>
      </c>
      <c r="I7" s="305" t="s">
        <v>461</v>
      </c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</row>
    <row r="8" spans="1:32" x14ac:dyDescent="0.25">
      <c r="B8" t="s">
        <v>462</v>
      </c>
      <c r="D8" s="45">
        <v>121</v>
      </c>
      <c r="E8" s="45">
        <v>161.00000000000003</v>
      </c>
      <c r="F8" s="45">
        <v>122.50000000000001</v>
      </c>
      <c r="G8" s="45">
        <v>168.99999999999997</v>
      </c>
      <c r="H8" s="45">
        <v>156.6</v>
      </c>
      <c r="I8" s="45">
        <v>179.80000000000004</v>
      </c>
      <c r="J8" t="s">
        <v>463</v>
      </c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</row>
    <row r="9" spans="1:32" x14ac:dyDescent="0.25">
      <c r="B9" t="s">
        <v>464</v>
      </c>
      <c r="D9" s="45">
        <v>3025</v>
      </c>
      <c r="E9" s="45">
        <v>3833.3333333333339</v>
      </c>
      <c r="F9" s="45">
        <v>2848.8372093023258</v>
      </c>
      <c r="G9" s="45">
        <v>3673.9130434782605</v>
      </c>
      <c r="H9" s="45">
        <v>3262.4999999999995</v>
      </c>
      <c r="I9" s="45">
        <v>3457.6923076923081</v>
      </c>
      <c r="J9" t="s">
        <v>465</v>
      </c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</row>
    <row r="10" spans="1:32" x14ac:dyDescent="0.25">
      <c r="B10" t="s">
        <v>466</v>
      </c>
      <c r="D10" s="332"/>
      <c r="E10" s="332"/>
      <c r="F10" s="332"/>
      <c r="G10" s="332"/>
      <c r="H10" s="332"/>
      <c r="I10" s="332"/>
      <c r="J10" t="s">
        <v>467</v>
      </c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</row>
    <row r="11" spans="1:32" x14ac:dyDescent="0.25">
      <c r="B11" t="s">
        <v>468</v>
      </c>
      <c r="D11" s="303">
        <v>5.5</v>
      </c>
      <c r="E11" s="303">
        <v>7</v>
      </c>
      <c r="F11" s="303">
        <v>5</v>
      </c>
      <c r="G11" s="303">
        <v>6.5</v>
      </c>
      <c r="H11" s="303">
        <v>5.8</v>
      </c>
      <c r="I11" s="303">
        <v>6.2</v>
      </c>
      <c r="J11" t="s">
        <v>469</v>
      </c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</row>
    <row r="12" spans="1:32" x14ac:dyDescent="0.25">
      <c r="B12" t="s">
        <v>470</v>
      </c>
      <c r="D12" s="45">
        <v>550</v>
      </c>
      <c r="E12" s="45">
        <v>547.61904761904771</v>
      </c>
      <c r="F12" s="45">
        <v>569.76744186046517</v>
      </c>
      <c r="G12" s="45">
        <v>565.21739130434776</v>
      </c>
      <c r="H12" s="45">
        <v>562.5</v>
      </c>
      <c r="I12" s="45">
        <v>557.69230769230774</v>
      </c>
      <c r="J12" t="s">
        <v>471</v>
      </c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6"/>
      <c r="AD12" s="326"/>
      <c r="AE12" s="326"/>
      <c r="AF12" s="326"/>
    </row>
    <row r="13" spans="1:32" x14ac:dyDescent="0.25">
      <c r="B13" t="s">
        <v>472</v>
      </c>
      <c r="D13" s="45">
        <v>514.3564356435644</v>
      </c>
      <c r="E13" s="45">
        <v>521.05745454545456</v>
      </c>
      <c r="F13" s="45">
        <v>529.57922082840241</v>
      </c>
      <c r="G13" s="45">
        <v>537.97579225496543</v>
      </c>
      <c r="H13" s="45">
        <v>551.71178421171783</v>
      </c>
      <c r="I13" s="45">
        <v>561.81466111462464</v>
      </c>
      <c r="J13" t="s">
        <v>473</v>
      </c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</row>
    <row r="14" spans="1:32" x14ac:dyDescent="0.25">
      <c r="D14" s="333"/>
      <c r="E14" s="333"/>
      <c r="F14" s="333"/>
      <c r="G14" s="333"/>
      <c r="H14" s="333"/>
      <c r="I14" s="333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</row>
    <row r="15" spans="1:32" ht="15.75" thickBot="1" x14ac:dyDescent="0.3">
      <c r="A15" s="314" t="s">
        <v>474</v>
      </c>
      <c r="B15" s="314"/>
      <c r="C15" s="305" t="s">
        <v>455</v>
      </c>
      <c r="D15" s="305" t="s">
        <v>456</v>
      </c>
      <c r="E15" s="305" t="s">
        <v>457</v>
      </c>
      <c r="F15" s="305" t="s">
        <v>458</v>
      </c>
      <c r="G15" s="305" t="s">
        <v>459</v>
      </c>
      <c r="H15" s="305" t="s">
        <v>460</v>
      </c>
      <c r="I15" s="305" t="s">
        <v>461</v>
      </c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</row>
    <row r="16" spans="1:32" x14ac:dyDescent="0.25">
      <c r="B16" t="s">
        <v>475</v>
      </c>
      <c r="D16" s="333">
        <v>22</v>
      </c>
      <c r="E16" s="333">
        <v>23</v>
      </c>
      <c r="F16" s="333">
        <v>24.5</v>
      </c>
      <c r="G16" s="333">
        <v>26</v>
      </c>
      <c r="H16" s="333">
        <v>27</v>
      </c>
      <c r="I16" s="333">
        <v>29</v>
      </c>
      <c r="J16" t="s">
        <v>476</v>
      </c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</row>
    <row r="17" spans="1:32" x14ac:dyDescent="0.25">
      <c r="B17" t="s">
        <v>477</v>
      </c>
      <c r="D17" s="333">
        <v>-8.4</v>
      </c>
      <c r="E17" s="333">
        <v>-11.2212</v>
      </c>
      <c r="F17" s="333">
        <v>-9.0273204000000007</v>
      </c>
      <c r="G17" s="333">
        <v>-8.949888832000001</v>
      </c>
      <c r="H17" s="333">
        <v>-8.8518536857632011</v>
      </c>
      <c r="I17" s="333">
        <v>-8.838422783071719</v>
      </c>
      <c r="J17" s="333" t="s">
        <v>478</v>
      </c>
      <c r="R17" s="326"/>
      <c r="S17" s="326"/>
      <c r="T17" s="326"/>
      <c r="U17" s="326"/>
      <c r="V17" s="326"/>
      <c r="W17" s="326"/>
      <c r="X17" s="326"/>
      <c r="Y17" s="326"/>
      <c r="Z17" s="326"/>
      <c r="AA17" s="326"/>
      <c r="AB17" s="326"/>
      <c r="AC17" s="326"/>
      <c r="AD17" s="326"/>
      <c r="AE17" s="326"/>
      <c r="AF17" s="326"/>
    </row>
    <row r="18" spans="1:32" x14ac:dyDescent="0.25">
      <c r="B18" t="s">
        <v>479</v>
      </c>
      <c r="D18" s="333">
        <v>2</v>
      </c>
      <c r="E18" s="333">
        <v>2.4936000000000003</v>
      </c>
      <c r="F18" s="333">
        <v>2.149362</v>
      </c>
      <c r="G18" s="333">
        <v>1.3424833248000001</v>
      </c>
      <c r="H18" s="333">
        <v>6.9883055413920001</v>
      </c>
      <c r="I18" s="333">
        <v>3.437164415639002</v>
      </c>
      <c r="J18" t="s">
        <v>480</v>
      </c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</row>
    <row r="19" spans="1:32" ht="15.75" thickBot="1" x14ac:dyDescent="0.3">
      <c r="B19" s="309" t="s">
        <v>481</v>
      </c>
      <c r="C19" s="309"/>
      <c r="D19" s="334">
        <f t="shared" ref="D19:I19" si="0">D16+D17+D18</f>
        <v>15.6</v>
      </c>
      <c r="E19" s="334">
        <f t="shared" si="0"/>
        <v>14.272400000000001</v>
      </c>
      <c r="F19" s="334">
        <f t="shared" si="0"/>
        <v>17.622041599999999</v>
      </c>
      <c r="G19" s="334">
        <f t="shared" si="0"/>
        <v>18.392594492800001</v>
      </c>
      <c r="H19" s="334">
        <f t="shared" si="0"/>
        <v>25.136451855628799</v>
      </c>
      <c r="I19" s="334">
        <f t="shared" si="0"/>
        <v>23.598741632567283</v>
      </c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</row>
    <row r="20" spans="1:32" ht="15.75" thickTop="1" x14ac:dyDescent="0.25">
      <c r="D20" s="333"/>
      <c r="E20" s="333"/>
      <c r="F20" s="333"/>
      <c r="G20" s="333"/>
      <c r="H20" s="333"/>
      <c r="I20" s="333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</row>
    <row r="21" spans="1:32" x14ac:dyDescent="0.25">
      <c r="B21" t="s">
        <v>482</v>
      </c>
      <c r="D21" s="333">
        <v>400</v>
      </c>
      <c r="E21" s="333">
        <f>D22</f>
        <v>415.6</v>
      </c>
      <c r="F21" s="333">
        <f>E22</f>
        <v>429.87240000000003</v>
      </c>
      <c r="G21" s="333">
        <f>F22</f>
        <v>447.49444160000002</v>
      </c>
      <c r="H21" s="333">
        <f>G22</f>
        <v>465.88703609280003</v>
      </c>
      <c r="I21" s="333">
        <f>H22</f>
        <v>491.02348794842885</v>
      </c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</row>
    <row r="22" spans="1:32" x14ac:dyDescent="0.25">
      <c r="B22" t="s">
        <v>483</v>
      </c>
      <c r="C22" s="335">
        <v>400</v>
      </c>
      <c r="D22" s="335">
        <f t="shared" ref="D22:I22" si="1">C22+D19</f>
        <v>415.6</v>
      </c>
      <c r="E22" s="335">
        <f t="shared" si="1"/>
        <v>429.87240000000003</v>
      </c>
      <c r="F22" s="335">
        <f t="shared" si="1"/>
        <v>447.49444160000002</v>
      </c>
      <c r="G22" s="335">
        <f t="shared" si="1"/>
        <v>465.88703609280003</v>
      </c>
      <c r="H22" s="335">
        <f t="shared" si="1"/>
        <v>491.02348794842885</v>
      </c>
      <c r="I22" s="335">
        <f t="shared" si="1"/>
        <v>514.62222958099619</v>
      </c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</row>
    <row r="23" spans="1:32" x14ac:dyDescent="0.25">
      <c r="B23" t="s">
        <v>484</v>
      </c>
      <c r="C23" s="336">
        <f>C22*12</f>
        <v>4800</v>
      </c>
      <c r="D23" s="336">
        <f t="shared" ref="D23:I23" si="2">D22*12</f>
        <v>4987.2000000000007</v>
      </c>
      <c r="E23" s="336">
        <f t="shared" si="2"/>
        <v>5158.4688000000006</v>
      </c>
      <c r="F23" s="336">
        <f t="shared" si="2"/>
        <v>5369.9332992</v>
      </c>
      <c r="G23" s="336">
        <f t="shared" si="2"/>
        <v>5590.6444331136008</v>
      </c>
      <c r="H23" s="336">
        <f t="shared" si="2"/>
        <v>5892.2818553811467</v>
      </c>
      <c r="I23" s="336">
        <f t="shared" si="2"/>
        <v>6175.4667549719543</v>
      </c>
      <c r="J23" t="s">
        <v>485</v>
      </c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</row>
    <row r="24" spans="1:32" x14ac:dyDescent="0.25"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</row>
    <row r="25" spans="1:32" ht="15.75" thickBot="1" x14ac:dyDescent="0.3">
      <c r="A25" s="314" t="s">
        <v>486</v>
      </c>
      <c r="B25" s="314"/>
      <c r="C25" s="305" t="s">
        <v>455</v>
      </c>
      <c r="D25" s="305" t="s">
        <v>456</v>
      </c>
      <c r="E25" s="305" t="s">
        <v>457</v>
      </c>
      <c r="F25" s="305" t="s">
        <v>458</v>
      </c>
      <c r="G25" s="305" t="s">
        <v>459</v>
      </c>
      <c r="H25" s="305" t="s">
        <v>460</v>
      </c>
      <c r="I25" s="305" t="s">
        <v>461</v>
      </c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</row>
    <row r="26" spans="1:32" x14ac:dyDescent="0.25">
      <c r="B26" t="s">
        <v>487</v>
      </c>
      <c r="C26" s="337">
        <v>792</v>
      </c>
      <c r="D26" s="311">
        <f>C26+D29</f>
        <v>808</v>
      </c>
      <c r="E26" s="311">
        <f>D26+E29</f>
        <v>825</v>
      </c>
      <c r="F26" s="311">
        <f t="shared" ref="F26:I26" si="3">E26+F29</f>
        <v>845</v>
      </c>
      <c r="G26" s="311">
        <f t="shared" si="3"/>
        <v>866</v>
      </c>
      <c r="H26" s="311">
        <f t="shared" si="3"/>
        <v>890</v>
      </c>
      <c r="I26" s="311">
        <f t="shared" si="3"/>
        <v>916</v>
      </c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  <c r="AC26" s="326"/>
      <c r="AD26" s="326"/>
      <c r="AE26" s="326"/>
      <c r="AF26" s="326"/>
    </row>
    <row r="27" spans="1:32" x14ac:dyDescent="0.25">
      <c r="B27" t="s">
        <v>488</v>
      </c>
      <c r="D27" s="337">
        <v>40</v>
      </c>
      <c r="E27" s="337">
        <v>42</v>
      </c>
      <c r="F27" s="337">
        <v>43</v>
      </c>
      <c r="G27" s="337">
        <v>46</v>
      </c>
      <c r="H27" s="337">
        <v>48</v>
      </c>
      <c r="I27" s="337">
        <v>52</v>
      </c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6"/>
      <c r="AD27" s="326"/>
      <c r="AE27" s="326"/>
      <c r="AF27" s="326"/>
    </row>
    <row r="28" spans="1:32" x14ac:dyDescent="0.25">
      <c r="B28" t="s">
        <v>489</v>
      </c>
      <c r="D28" s="311">
        <v>-24</v>
      </c>
      <c r="E28" s="311">
        <f>-ROUND(3.1%*D26,0)</f>
        <v>-25</v>
      </c>
      <c r="F28" s="311">
        <f>-ROUND(2.8%*E26,0)</f>
        <v>-23</v>
      </c>
      <c r="G28" s="311">
        <f>-ROUND(2.9%*F26,0)</f>
        <v>-25</v>
      </c>
      <c r="H28" s="311">
        <f>-ROUND(2.8%*G26,0)</f>
        <v>-24</v>
      </c>
      <c r="I28" s="311">
        <f>-ROUND(2.9%*H26,0)</f>
        <v>-26</v>
      </c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6"/>
      <c r="AD28" s="326"/>
      <c r="AE28" s="326"/>
      <c r="AF28" s="326"/>
    </row>
    <row r="29" spans="1:32" x14ac:dyDescent="0.25">
      <c r="B29" s="338" t="s">
        <v>490</v>
      </c>
      <c r="C29" s="339"/>
      <c r="D29" s="340">
        <f t="shared" ref="D29:I29" si="4">D27+D28</f>
        <v>16</v>
      </c>
      <c r="E29" s="340">
        <f t="shared" si="4"/>
        <v>17</v>
      </c>
      <c r="F29" s="340">
        <f t="shared" si="4"/>
        <v>20</v>
      </c>
      <c r="G29" s="340">
        <f t="shared" si="4"/>
        <v>21</v>
      </c>
      <c r="H29" s="340">
        <f t="shared" si="4"/>
        <v>24</v>
      </c>
      <c r="I29" s="340">
        <f t="shared" si="4"/>
        <v>26</v>
      </c>
      <c r="J29" t="s">
        <v>491</v>
      </c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6"/>
      <c r="AD29" s="326"/>
      <c r="AE29" s="326"/>
      <c r="AF29" s="326"/>
    </row>
    <row r="30" spans="1:32" x14ac:dyDescent="0.25"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</row>
    <row r="31" spans="1:32" x14ac:dyDescent="0.25">
      <c r="B31" t="s">
        <v>492</v>
      </c>
      <c r="D31" s="299">
        <f>-D28/C26</f>
        <v>3.0303030303030304E-2</v>
      </c>
      <c r="E31" s="299">
        <f t="shared" ref="E31:I31" si="5">-E28/D26</f>
        <v>3.094059405940594E-2</v>
      </c>
      <c r="F31" s="299">
        <f t="shared" si="5"/>
        <v>2.7878787878787878E-2</v>
      </c>
      <c r="G31" s="299">
        <f t="shared" si="5"/>
        <v>2.9585798816568046E-2</v>
      </c>
      <c r="H31" s="299">
        <f t="shared" si="5"/>
        <v>2.771362586605081E-2</v>
      </c>
      <c r="I31" s="299">
        <f t="shared" si="5"/>
        <v>2.9213483146067417E-2</v>
      </c>
      <c r="J31" t="s">
        <v>493</v>
      </c>
      <c r="R31" s="326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326"/>
      <c r="AD31" s="326"/>
      <c r="AE31" s="326"/>
      <c r="AF31" s="326"/>
    </row>
    <row r="32" spans="1:32" x14ac:dyDescent="0.25">
      <c r="B32" t="s">
        <v>494</v>
      </c>
      <c r="D32" s="299">
        <v>2.1000000000000001E-2</v>
      </c>
      <c r="E32" s="299">
        <v>2.7E-2</v>
      </c>
      <c r="F32" s="299">
        <v>2.1000000000000001E-2</v>
      </c>
      <c r="G32" s="299">
        <v>0.02</v>
      </c>
      <c r="H32" s="299">
        <v>1.9E-2</v>
      </c>
      <c r="I32" s="299">
        <v>1.7999999999999999E-2</v>
      </c>
      <c r="J32" t="s">
        <v>495</v>
      </c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</row>
    <row r="33" spans="1:32" x14ac:dyDescent="0.25">
      <c r="B33" t="s">
        <v>496</v>
      </c>
      <c r="D33" s="299">
        <v>5.0000000000000001E-3</v>
      </c>
      <c r="E33" s="299">
        <v>6.0000000000000001E-3</v>
      </c>
      <c r="F33" s="299">
        <v>5.0000000000000001E-3</v>
      </c>
      <c r="G33" s="299">
        <v>3.0000000000000001E-3</v>
      </c>
      <c r="H33" s="299">
        <v>1.4999999999999999E-2</v>
      </c>
      <c r="I33" s="299">
        <v>7.0000000000000001E-3</v>
      </c>
      <c r="J33" t="s">
        <v>497</v>
      </c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26"/>
      <c r="AC33" s="326"/>
      <c r="AD33" s="326"/>
      <c r="AE33" s="326"/>
      <c r="AF33" s="326"/>
    </row>
    <row r="34" spans="1:32" x14ac:dyDescent="0.25">
      <c r="B34" s="338" t="s">
        <v>498</v>
      </c>
      <c r="C34" s="338"/>
      <c r="D34" s="341">
        <f t="shared" ref="D34:I34" si="6">(-D17-D18)/D21</f>
        <v>1.6E-2</v>
      </c>
      <c r="E34" s="341">
        <f t="shared" si="6"/>
        <v>2.0999999999999998E-2</v>
      </c>
      <c r="F34" s="341">
        <f t="shared" si="6"/>
        <v>1.6E-2</v>
      </c>
      <c r="G34" s="341">
        <f t="shared" si="6"/>
        <v>1.7000000000000001E-2</v>
      </c>
      <c r="H34" s="341">
        <f t="shared" si="6"/>
        <v>4.0000000000000018E-3</v>
      </c>
      <c r="I34" s="341">
        <f t="shared" si="6"/>
        <v>1.1000000000000001E-2</v>
      </c>
      <c r="J34" t="s">
        <v>499</v>
      </c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</row>
    <row r="35" spans="1:32" x14ac:dyDescent="0.25"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</row>
    <row r="36" spans="1:32" x14ac:dyDescent="0.25">
      <c r="B36" t="s">
        <v>500</v>
      </c>
      <c r="D36">
        <v>121</v>
      </c>
      <c r="E36">
        <v>120</v>
      </c>
      <c r="F36">
        <v>125</v>
      </c>
      <c r="G36">
        <v>126</v>
      </c>
      <c r="H36">
        <v>130</v>
      </c>
      <c r="I36">
        <v>135</v>
      </c>
      <c r="J36" t="s">
        <v>501</v>
      </c>
      <c r="R36" s="326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326"/>
      <c r="AD36" s="326"/>
      <c r="AE36" s="326"/>
      <c r="AF36" s="326"/>
    </row>
    <row r="37" spans="1:32" x14ac:dyDescent="0.25">
      <c r="B37" t="s">
        <v>502</v>
      </c>
      <c r="D37" s="337">
        <v>28</v>
      </c>
      <c r="E37" s="337">
        <v>27</v>
      </c>
      <c r="F37" s="337">
        <v>29</v>
      </c>
      <c r="G37" s="337">
        <v>32</v>
      </c>
      <c r="H37" s="337">
        <v>33</v>
      </c>
      <c r="I37" s="337">
        <v>35</v>
      </c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26"/>
      <c r="AC37" s="326"/>
      <c r="AD37" s="326"/>
      <c r="AE37" s="326"/>
      <c r="AF37" s="326"/>
    </row>
    <row r="38" spans="1:32" x14ac:dyDescent="0.25"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</row>
    <row r="39" spans="1:32" ht="15.75" thickBot="1" x14ac:dyDescent="0.3">
      <c r="A39" s="314" t="s">
        <v>503</v>
      </c>
      <c r="B39" s="314"/>
      <c r="C39" s="305" t="s">
        <v>455</v>
      </c>
      <c r="D39" s="305" t="s">
        <v>456</v>
      </c>
      <c r="E39" s="305" t="s">
        <v>457</v>
      </c>
      <c r="F39" s="305" t="s">
        <v>458</v>
      </c>
      <c r="G39" s="305" t="s">
        <v>459</v>
      </c>
      <c r="H39" s="305" t="s">
        <v>460</v>
      </c>
      <c r="I39" s="305" t="s">
        <v>461</v>
      </c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</row>
    <row r="40" spans="1:32" x14ac:dyDescent="0.25">
      <c r="B40" t="s">
        <v>504</v>
      </c>
      <c r="D40" s="46">
        <f t="shared" ref="D40:I40" si="7">D12*D52/D32</f>
        <v>21738.095238095237</v>
      </c>
      <c r="E40" s="46">
        <f t="shared" si="7"/>
        <v>16834.215167548504</v>
      </c>
      <c r="F40" s="46">
        <f t="shared" si="7"/>
        <v>22519.37984496124</v>
      </c>
      <c r="G40" s="46">
        <f t="shared" si="7"/>
        <v>23456.521739130432</v>
      </c>
      <c r="H40" s="46">
        <f t="shared" si="7"/>
        <v>24572.368421052633</v>
      </c>
      <c r="I40" s="46">
        <f t="shared" si="7"/>
        <v>25715.811965811969</v>
      </c>
      <c r="J40" t="s">
        <v>505</v>
      </c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</row>
    <row r="41" spans="1:32" x14ac:dyDescent="0.25">
      <c r="B41" t="s">
        <v>395</v>
      </c>
      <c r="D41" s="45">
        <f t="shared" ref="D41:I41" si="8">D55/D27*1000</f>
        <v>8750</v>
      </c>
      <c r="E41" s="45">
        <f t="shared" si="8"/>
        <v>8571.4285714285706</v>
      </c>
      <c r="F41" s="45">
        <f t="shared" si="8"/>
        <v>8604.6511627906966</v>
      </c>
      <c r="G41" s="45">
        <f t="shared" si="8"/>
        <v>8260.8695652173901</v>
      </c>
      <c r="H41" s="45">
        <f t="shared" si="8"/>
        <v>8125</v>
      </c>
      <c r="I41" s="45">
        <f t="shared" si="8"/>
        <v>7692.3076923076924</v>
      </c>
      <c r="J41" t="s">
        <v>506</v>
      </c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</row>
    <row r="42" spans="1:32" x14ac:dyDescent="0.25">
      <c r="B42" t="s">
        <v>507</v>
      </c>
      <c r="D42" s="303">
        <f t="shared" ref="D42:I42" si="9">D40/D41</f>
        <v>2.4843537414965984</v>
      </c>
      <c r="E42" s="303">
        <f t="shared" si="9"/>
        <v>1.9639917695473257</v>
      </c>
      <c r="F42" s="303">
        <f t="shared" si="9"/>
        <v>2.6171171171171173</v>
      </c>
      <c r="G42" s="303">
        <f t="shared" si="9"/>
        <v>2.8394736842105264</v>
      </c>
      <c r="H42" s="303">
        <f t="shared" si="9"/>
        <v>3.024291497975709</v>
      </c>
      <c r="I42" s="303">
        <f t="shared" si="9"/>
        <v>3.3430555555555559</v>
      </c>
      <c r="J42" t="s">
        <v>508</v>
      </c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</row>
    <row r="43" spans="1:32" x14ac:dyDescent="0.25">
      <c r="B43" t="s">
        <v>509</v>
      </c>
      <c r="D43" s="337">
        <f t="shared" ref="D43:I43" si="10">D41/(D12*D52)</f>
        <v>19.167579408543265</v>
      </c>
      <c r="E43" s="337">
        <f t="shared" si="10"/>
        <v>18.858040859088526</v>
      </c>
      <c r="F43" s="337">
        <f t="shared" si="10"/>
        <v>18.19522989918859</v>
      </c>
      <c r="G43" s="337">
        <f t="shared" si="10"/>
        <v>17.608897126969417</v>
      </c>
      <c r="H43" s="337">
        <f t="shared" si="10"/>
        <v>17.402945113788487</v>
      </c>
      <c r="I43" s="337">
        <f t="shared" si="10"/>
        <v>16.618196925633569</v>
      </c>
      <c r="J43" t="s">
        <v>510</v>
      </c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</row>
    <row r="44" spans="1:32" x14ac:dyDescent="0.25"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</row>
    <row r="45" spans="1:32" x14ac:dyDescent="0.25"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</row>
    <row r="46" spans="1:32" x14ac:dyDescent="0.25"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</row>
    <row r="47" spans="1:32" ht="15.75" thickBot="1" x14ac:dyDescent="0.3">
      <c r="A47" s="314" t="s">
        <v>511</v>
      </c>
      <c r="B47" s="314"/>
      <c r="C47" s="305" t="s">
        <v>455</v>
      </c>
      <c r="D47" s="305" t="s">
        <v>456</v>
      </c>
      <c r="E47" s="305" t="s">
        <v>457</v>
      </c>
      <c r="F47" s="305" t="s">
        <v>458</v>
      </c>
      <c r="G47" s="305" t="s">
        <v>459</v>
      </c>
      <c r="H47" s="305" t="s">
        <v>460</v>
      </c>
      <c r="I47" s="305" t="s">
        <v>461</v>
      </c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</row>
    <row r="48" spans="1:32" x14ac:dyDescent="0.25">
      <c r="B48" t="s">
        <v>512</v>
      </c>
      <c r="D48" s="45">
        <v>505</v>
      </c>
      <c r="E48" s="45">
        <v>515</v>
      </c>
      <c r="F48" s="45">
        <v>520</v>
      </c>
      <c r="G48" s="45">
        <v>490</v>
      </c>
      <c r="H48" s="45">
        <v>540</v>
      </c>
      <c r="I48" s="45">
        <v>560</v>
      </c>
      <c r="J48" t="s">
        <v>513</v>
      </c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</row>
    <row r="49" spans="1:32" x14ac:dyDescent="0.25">
      <c r="B49" t="s">
        <v>514</v>
      </c>
      <c r="D49" s="45">
        <v>415.6</v>
      </c>
      <c r="E49" s="45">
        <v>429.87240000000003</v>
      </c>
      <c r="F49" s="45">
        <v>447.49444160000002</v>
      </c>
      <c r="G49" s="45">
        <v>465.88703609280003</v>
      </c>
      <c r="H49" s="45">
        <v>491.02348794842885</v>
      </c>
      <c r="I49" s="45">
        <v>514.62222958099619</v>
      </c>
      <c r="J49" t="s">
        <v>515</v>
      </c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  <row r="50" spans="1:32" x14ac:dyDescent="0.25">
      <c r="B50" t="s">
        <v>516</v>
      </c>
      <c r="D50" s="46">
        <v>70.652000000000015</v>
      </c>
      <c r="E50" s="46">
        <v>73.078308000000021</v>
      </c>
      <c r="F50" s="46">
        <v>76.074055072000021</v>
      </c>
      <c r="G50" s="46">
        <v>79.200796135776031</v>
      </c>
      <c r="H50" s="46">
        <v>83.47399295123293</v>
      </c>
      <c r="I50" s="46">
        <v>87.485779028769372</v>
      </c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</row>
    <row r="51" spans="1:32" x14ac:dyDescent="0.25">
      <c r="B51" t="s">
        <v>517</v>
      </c>
      <c r="D51" s="46">
        <v>344.94799999999998</v>
      </c>
      <c r="E51" s="46">
        <v>356.79409199999998</v>
      </c>
      <c r="F51" s="46">
        <v>371.42038652799999</v>
      </c>
      <c r="G51" s="46">
        <v>386.68623995702399</v>
      </c>
      <c r="H51" s="46">
        <v>407.54949499719589</v>
      </c>
      <c r="I51" s="46">
        <v>427.13645055222685</v>
      </c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</row>
    <row r="52" spans="1:32" x14ac:dyDescent="0.25">
      <c r="B52" t="s">
        <v>314</v>
      </c>
      <c r="D52" s="342">
        <v>0.83</v>
      </c>
      <c r="E52" s="342">
        <v>0.83</v>
      </c>
      <c r="F52" s="342">
        <v>0.83</v>
      </c>
      <c r="G52" s="342">
        <v>0.83</v>
      </c>
      <c r="H52" s="342">
        <v>0.83</v>
      </c>
      <c r="I52" s="342">
        <v>0.83</v>
      </c>
      <c r="R52" s="326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</row>
    <row r="53" spans="1:32" x14ac:dyDescent="0.25"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</row>
    <row r="54" spans="1:32" x14ac:dyDescent="0.25">
      <c r="B54" t="s">
        <v>144</v>
      </c>
      <c r="D54" s="46">
        <v>640</v>
      </c>
      <c r="E54" s="46">
        <v>650</v>
      </c>
      <c r="F54" s="46">
        <v>660</v>
      </c>
      <c r="G54" s="46">
        <v>670</v>
      </c>
      <c r="H54" s="46">
        <v>680</v>
      </c>
      <c r="I54" s="46">
        <v>690</v>
      </c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</row>
    <row r="55" spans="1:32" x14ac:dyDescent="0.25">
      <c r="B55" t="s">
        <v>518</v>
      </c>
      <c r="D55" s="46">
        <v>350</v>
      </c>
      <c r="E55" s="46">
        <v>360</v>
      </c>
      <c r="F55" s="46">
        <v>370</v>
      </c>
      <c r="G55" s="46">
        <v>380</v>
      </c>
      <c r="H55" s="46">
        <v>390</v>
      </c>
      <c r="I55" s="46">
        <v>400</v>
      </c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</row>
    <row r="56" spans="1:32" x14ac:dyDescent="0.25">
      <c r="B56" t="s">
        <v>519</v>
      </c>
      <c r="D56" s="46">
        <v>180</v>
      </c>
      <c r="E56" s="46">
        <v>180</v>
      </c>
      <c r="F56" s="46">
        <v>180</v>
      </c>
      <c r="G56" s="46">
        <v>180</v>
      </c>
      <c r="H56" s="46">
        <v>180</v>
      </c>
      <c r="I56" s="46">
        <v>180</v>
      </c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</row>
    <row r="57" spans="1:32" x14ac:dyDescent="0.25">
      <c r="B57" t="s">
        <v>520</v>
      </c>
      <c r="D57" s="46">
        <v>110</v>
      </c>
      <c r="E57" s="46">
        <v>110</v>
      </c>
      <c r="F57" s="46">
        <v>110</v>
      </c>
      <c r="G57" s="46">
        <v>110</v>
      </c>
      <c r="H57" s="46">
        <v>110</v>
      </c>
      <c r="I57" s="46">
        <v>110</v>
      </c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</row>
    <row r="58" spans="1:32" x14ac:dyDescent="0.25"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</row>
    <row r="59" spans="1:32" ht="15.75" thickBot="1" x14ac:dyDescent="0.3">
      <c r="B59" s="309" t="s">
        <v>284</v>
      </c>
      <c r="C59" s="309"/>
      <c r="D59" s="343">
        <f t="shared" ref="D59:I59" si="11">D51-D54</f>
        <v>-295.05200000000002</v>
      </c>
      <c r="E59" s="343">
        <f t="shared" si="11"/>
        <v>-293.20590800000002</v>
      </c>
      <c r="F59" s="343">
        <f t="shared" si="11"/>
        <v>-288.57961347200001</v>
      </c>
      <c r="G59" s="343">
        <f t="shared" si="11"/>
        <v>-283.31376004297601</v>
      </c>
      <c r="H59" s="343">
        <f t="shared" si="11"/>
        <v>-272.45050500280411</v>
      </c>
      <c r="I59" s="343">
        <f t="shared" si="11"/>
        <v>-262.86354944777315</v>
      </c>
      <c r="J59" t="s">
        <v>521</v>
      </c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</row>
    <row r="60" spans="1:32" ht="15.75" thickTop="1" x14ac:dyDescent="0.25">
      <c r="B60" t="s">
        <v>522</v>
      </c>
      <c r="D60" s="46">
        <f t="shared" ref="D60:I60" si="12">D48*D52-D54</f>
        <v>-220.85000000000002</v>
      </c>
      <c r="E60" s="46">
        <f t="shared" si="12"/>
        <v>-222.55</v>
      </c>
      <c r="F60" s="46">
        <f t="shared" si="12"/>
        <v>-228.40000000000003</v>
      </c>
      <c r="G60" s="46">
        <f t="shared" si="12"/>
        <v>-263.3</v>
      </c>
      <c r="H60" s="46">
        <f t="shared" si="12"/>
        <v>-231.8</v>
      </c>
      <c r="I60" s="46">
        <f t="shared" si="12"/>
        <v>-225.20000000000005</v>
      </c>
      <c r="J60" t="s">
        <v>523</v>
      </c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</row>
    <row r="61" spans="1:32" x14ac:dyDescent="0.25">
      <c r="J61" t="s">
        <v>524</v>
      </c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</row>
    <row r="62" spans="1:32" x14ac:dyDescent="0.25"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</row>
    <row r="63" spans="1:32" ht="15.75" thickBot="1" x14ac:dyDescent="0.3">
      <c r="A63" s="314" t="s">
        <v>525</v>
      </c>
      <c r="B63" s="314"/>
      <c r="C63" s="305" t="s">
        <v>455</v>
      </c>
      <c r="D63" s="305" t="s">
        <v>456</v>
      </c>
      <c r="E63" s="305" t="s">
        <v>457</v>
      </c>
      <c r="F63" s="305" t="s">
        <v>458</v>
      </c>
      <c r="G63" s="305" t="s">
        <v>459</v>
      </c>
      <c r="H63" s="305" t="s">
        <v>460</v>
      </c>
      <c r="I63" s="305" t="s">
        <v>461</v>
      </c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</row>
    <row r="64" spans="1:32" x14ac:dyDescent="0.25">
      <c r="B64" t="s">
        <v>526</v>
      </c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</row>
    <row r="65" spans="1:32" x14ac:dyDescent="0.25">
      <c r="B65" t="s">
        <v>527</v>
      </c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</row>
    <row r="66" spans="1:32" x14ac:dyDescent="0.25">
      <c r="B66" t="s">
        <v>528</v>
      </c>
      <c r="D66" s="333"/>
      <c r="E66" s="333"/>
      <c r="F66" s="333"/>
      <c r="G66" s="333"/>
      <c r="H66" s="333"/>
      <c r="I66" s="333"/>
      <c r="J66" t="s">
        <v>529</v>
      </c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</row>
    <row r="67" spans="1:32" x14ac:dyDescent="0.25"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</row>
    <row r="68" spans="1:32" x14ac:dyDescent="0.25"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</row>
    <row r="69" spans="1:32" ht="15.75" thickBot="1" x14ac:dyDescent="0.3">
      <c r="A69" s="314" t="s">
        <v>530</v>
      </c>
      <c r="B69" s="314"/>
      <c r="D69" s="305" t="s">
        <v>456</v>
      </c>
      <c r="E69" s="305" t="s">
        <v>457</v>
      </c>
      <c r="F69" s="305" t="s">
        <v>458</v>
      </c>
      <c r="G69" s="305" t="s">
        <v>459</v>
      </c>
      <c r="H69" s="305" t="s">
        <v>460</v>
      </c>
      <c r="I69" s="305" t="s">
        <v>461</v>
      </c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</row>
    <row r="70" spans="1:32" x14ac:dyDescent="0.25">
      <c r="B70" t="s">
        <v>531</v>
      </c>
      <c r="D70" s="337">
        <v>4700</v>
      </c>
      <c r="E70" s="337">
        <v>5178</v>
      </c>
      <c r="F70" s="337">
        <v>4574</v>
      </c>
      <c r="G70" s="337">
        <v>4923</v>
      </c>
      <c r="H70" s="337">
        <v>5000</v>
      </c>
      <c r="I70" s="337">
        <v>5170</v>
      </c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</row>
    <row r="71" spans="1:32" x14ac:dyDescent="0.25">
      <c r="B71" t="s">
        <v>532</v>
      </c>
      <c r="D71" s="87">
        <v>0.05</v>
      </c>
      <c r="E71" s="87">
        <v>4.4999999999999998E-2</v>
      </c>
      <c r="F71" s="87">
        <v>4.7E-2</v>
      </c>
      <c r="G71" s="87">
        <v>5.1999999999999998E-2</v>
      </c>
      <c r="H71" s="87">
        <v>4.8000000000000001E-2</v>
      </c>
      <c r="I71" s="87">
        <v>5.2999999999999999E-2</v>
      </c>
      <c r="R71" s="326"/>
      <c r="S71" s="326"/>
      <c r="T71" s="326"/>
      <c r="U71" s="326"/>
      <c r="V71" s="326"/>
      <c r="W71" s="326"/>
      <c r="X71" s="326"/>
      <c r="Y71" s="326"/>
      <c r="Z71" s="326"/>
      <c r="AA71" s="326"/>
      <c r="AB71" s="326"/>
      <c r="AC71" s="326"/>
      <c r="AD71" s="326"/>
      <c r="AE71" s="326"/>
      <c r="AF71" s="326"/>
    </row>
    <row r="72" spans="1:32" x14ac:dyDescent="0.25">
      <c r="B72" t="s">
        <v>533</v>
      </c>
      <c r="D72" s="337">
        <v>235</v>
      </c>
      <c r="E72" s="337">
        <v>233</v>
      </c>
      <c r="F72" s="337">
        <v>215</v>
      </c>
      <c r="G72" s="337">
        <v>256</v>
      </c>
      <c r="H72" s="337">
        <v>240</v>
      </c>
      <c r="I72" s="337">
        <v>274</v>
      </c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</row>
    <row r="73" spans="1:32" x14ac:dyDescent="0.25">
      <c r="B73" t="s">
        <v>534</v>
      </c>
      <c r="D73" s="342">
        <v>0.17</v>
      </c>
      <c r="E73" s="342">
        <v>0.18</v>
      </c>
      <c r="F73" s="342">
        <v>0.2</v>
      </c>
      <c r="G73" s="342">
        <v>0.18</v>
      </c>
      <c r="H73" s="342">
        <v>0.2</v>
      </c>
      <c r="I73" s="342">
        <v>0.19</v>
      </c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</row>
    <row r="74" spans="1:32" x14ac:dyDescent="0.25">
      <c r="R74" s="326"/>
      <c r="S74" s="326"/>
      <c r="T74" s="326"/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</row>
    <row r="75" spans="1:32" x14ac:dyDescent="0.25">
      <c r="R75" s="326"/>
      <c r="S75" s="326"/>
      <c r="T75" s="326"/>
      <c r="U75" s="326"/>
      <c r="V75" s="326"/>
      <c r="W75" s="326"/>
      <c r="X75" s="326"/>
      <c r="Y75" s="326"/>
      <c r="Z75" s="326"/>
      <c r="AA75" s="326"/>
      <c r="AB75" s="326"/>
      <c r="AC75" s="326"/>
      <c r="AD75" s="326"/>
      <c r="AE75" s="326"/>
      <c r="AF75" s="326"/>
    </row>
    <row r="76" spans="1:32" ht="15.75" thickBot="1" x14ac:dyDescent="0.3">
      <c r="A76" s="314" t="s">
        <v>535</v>
      </c>
      <c r="B76" s="314"/>
      <c r="D76" s="305" t="s">
        <v>456</v>
      </c>
      <c r="E76" s="305" t="s">
        <v>457</v>
      </c>
      <c r="F76" s="305" t="s">
        <v>458</v>
      </c>
      <c r="G76" s="305" t="s">
        <v>459</v>
      </c>
      <c r="H76" s="305" t="s">
        <v>460</v>
      </c>
      <c r="I76" s="305" t="s">
        <v>461</v>
      </c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</row>
    <row r="77" spans="1:32" x14ac:dyDescent="0.25">
      <c r="B77" t="s">
        <v>536</v>
      </c>
      <c r="D77">
        <v>6</v>
      </c>
      <c r="E77">
        <v>6.5</v>
      </c>
      <c r="F77">
        <v>7</v>
      </c>
      <c r="G77">
        <v>7.5</v>
      </c>
      <c r="H77">
        <v>8</v>
      </c>
      <c r="I77">
        <v>8.5</v>
      </c>
      <c r="J77" t="s">
        <v>537</v>
      </c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x14ac:dyDescent="0.25">
      <c r="B78" t="s">
        <v>538</v>
      </c>
      <c r="D78" s="333">
        <v>4.166666666666667</v>
      </c>
      <c r="E78" s="333">
        <v>4.166666666666667</v>
      </c>
      <c r="F78" s="333">
        <v>4.166666666666667</v>
      </c>
      <c r="G78" s="333">
        <v>4.166666666666667</v>
      </c>
      <c r="H78" s="333">
        <v>4.166666666666667</v>
      </c>
      <c r="I78" s="333">
        <v>4.166666666666667</v>
      </c>
      <c r="J78" t="s">
        <v>539</v>
      </c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</row>
    <row r="79" spans="1:32" x14ac:dyDescent="0.25">
      <c r="B79" t="s">
        <v>540</v>
      </c>
      <c r="D79" s="333">
        <v>25</v>
      </c>
      <c r="E79" s="333">
        <v>27.083333333333336</v>
      </c>
      <c r="F79" s="333">
        <v>29.166666666666668</v>
      </c>
      <c r="G79" s="333">
        <v>31.250000000000004</v>
      </c>
      <c r="H79" s="333">
        <v>33.333333333333336</v>
      </c>
      <c r="I79" s="333">
        <v>35.416666666666671</v>
      </c>
      <c r="J79" t="s">
        <v>541</v>
      </c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</row>
    <row r="80" spans="1:32" x14ac:dyDescent="0.25">
      <c r="B80" t="s">
        <v>542</v>
      </c>
      <c r="D80">
        <v>1.2</v>
      </c>
      <c r="E80">
        <v>1.2</v>
      </c>
      <c r="F80">
        <v>1.2</v>
      </c>
      <c r="G80">
        <v>1.2</v>
      </c>
      <c r="H80">
        <v>1.2</v>
      </c>
      <c r="I80">
        <v>1.2</v>
      </c>
      <c r="J80" t="s">
        <v>543</v>
      </c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</row>
    <row r="81" spans="2:32" x14ac:dyDescent="0.25"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</row>
    <row r="82" spans="2:32" x14ac:dyDescent="0.25">
      <c r="B82" t="s">
        <v>544</v>
      </c>
      <c r="D82" s="333">
        <v>3.6666666666666665</v>
      </c>
      <c r="E82" s="333">
        <v>3.5384615384615383</v>
      </c>
      <c r="F82" s="333">
        <v>3.5</v>
      </c>
      <c r="G82" s="333">
        <v>3.4666666666666668</v>
      </c>
      <c r="H82" s="333">
        <v>3.375</v>
      </c>
      <c r="I82" s="333">
        <v>3.4117647058823528</v>
      </c>
      <c r="J82" t="s">
        <v>545</v>
      </c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</row>
    <row r="83" spans="2:32" x14ac:dyDescent="0.25"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</row>
    <row r="84" spans="2:32" x14ac:dyDescent="0.25"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</row>
    <row r="85" spans="2:32" x14ac:dyDescent="0.25"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</row>
    <row r="86" spans="2:32" x14ac:dyDescent="0.25"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</row>
    <row r="87" spans="2:32" x14ac:dyDescent="0.25"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</row>
    <row r="88" spans="2:32" x14ac:dyDescent="0.25"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</row>
    <row r="89" spans="2:32" x14ac:dyDescent="0.25"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</row>
    <row r="90" spans="2:32" x14ac:dyDescent="0.25"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</row>
    <row r="91" spans="2:32" x14ac:dyDescent="0.25"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</row>
    <row r="92" spans="2:32" x14ac:dyDescent="0.25"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</row>
    <row r="93" spans="2:32" x14ac:dyDescent="0.25"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</row>
    <row r="94" spans="2:32" x14ac:dyDescent="0.25"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</row>
    <row r="95" spans="2:32" x14ac:dyDescent="0.25"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</row>
    <row r="96" spans="2:32" x14ac:dyDescent="0.25"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</row>
    <row r="97" spans="18:32" x14ac:dyDescent="0.25"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</row>
    <row r="98" spans="18:32" x14ac:dyDescent="0.25"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</row>
    <row r="99" spans="18:32" x14ac:dyDescent="0.25"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</row>
    <row r="100" spans="18:32" x14ac:dyDescent="0.25"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</row>
    <row r="101" spans="18:32" x14ac:dyDescent="0.25"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</row>
    <row r="102" spans="18:32" x14ac:dyDescent="0.25"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</row>
    <row r="103" spans="18:32" x14ac:dyDescent="0.25"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</row>
    <row r="104" spans="18:32" x14ac:dyDescent="0.25"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</row>
    <row r="105" spans="18:32" x14ac:dyDescent="0.25"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</row>
    <row r="106" spans="18:32" x14ac:dyDescent="0.25"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</row>
    <row r="107" spans="18:32" x14ac:dyDescent="0.25"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</row>
    <row r="108" spans="18:32" x14ac:dyDescent="0.25"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</row>
    <row r="109" spans="18:32" x14ac:dyDescent="0.25"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</row>
    <row r="110" spans="18:32" x14ac:dyDescent="0.25"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</row>
    <row r="111" spans="18:32" x14ac:dyDescent="0.25"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</row>
    <row r="112" spans="18:32" x14ac:dyDescent="0.25"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</row>
    <row r="113" spans="18:32" x14ac:dyDescent="0.25"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</row>
    <row r="114" spans="18:32" x14ac:dyDescent="0.25"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</row>
    <row r="115" spans="18:32" x14ac:dyDescent="0.25"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</row>
    <row r="116" spans="18:32" x14ac:dyDescent="0.25"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</row>
    <row r="117" spans="18:32" x14ac:dyDescent="0.25"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</row>
    <row r="118" spans="18:32" x14ac:dyDescent="0.25"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</row>
    <row r="119" spans="18:32" x14ac:dyDescent="0.25"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</row>
    <row r="120" spans="18:32" x14ac:dyDescent="0.25"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</row>
    <row r="121" spans="18:32" x14ac:dyDescent="0.25"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</row>
    <row r="122" spans="18:32" x14ac:dyDescent="0.25"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</row>
    <row r="123" spans="18:32" x14ac:dyDescent="0.25"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</row>
    <row r="124" spans="18:32" x14ac:dyDescent="0.25"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</row>
    <row r="125" spans="18:32" x14ac:dyDescent="0.25"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</row>
    <row r="126" spans="18:32" x14ac:dyDescent="0.25"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</row>
    <row r="127" spans="18:32" x14ac:dyDescent="0.25"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</row>
    <row r="128" spans="18:32" x14ac:dyDescent="0.25"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</row>
    <row r="129" spans="18:32" x14ac:dyDescent="0.25"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</row>
    <row r="130" spans="18:32" x14ac:dyDescent="0.25"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</row>
    <row r="131" spans="18:32" x14ac:dyDescent="0.25"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</row>
    <row r="132" spans="18:32" x14ac:dyDescent="0.25"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</row>
    <row r="133" spans="18:32" x14ac:dyDescent="0.25"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</row>
    <row r="134" spans="18:32" x14ac:dyDescent="0.25"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</row>
    <row r="135" spans="18:32" x14ac:dyDescent="0.25"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</row>
    <row r="136" spans="18:32" x14ac:dyDescent="0.25"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</row>
    <row r="137" spans="18:32" x14ac:dyDescent="0.25"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</row>
    <row r="138" spans="18:32" x14ac:dyDescent="0.25"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</row>
    <row r="139" spans="18:32" x14ac:dyDescent="0.25"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</row>
    <row r="140" spans="18:32" x14ac:dyDescent="0.25"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</row>
    <row r="141" spans="18:32" x14ac:dyDescent="0.25"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</row>
    <row r="142" spans="18:32" x14ac:dyDescent="0.25"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</row>
    <row r="143" spans="18:32" x14ac:dyDescent="0.25"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</row>
    <row r="144" spans="18:32" x14ac:dyDescent="0.25"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</row>
    <row r="145" spans="18:32" x14ac:dyDescent="0.25"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</row>
    <row r="146" spans="18:32" x14ac:dyDescent="0.25"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</row>
    <row r="147" spans="18:32" x14ac:dyDescent="0.25"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</row>
    <row r="148" spans="18:32" x14ac:dyDescent="0.25"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</row>
    <row r="149" spans="18:32" x14ac:dyDescent="0.25"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</row>
    <row r="150" spans="18:32" x14ac:dyDescent="0.25"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</row>
    <row r="151" spans="18:32" x14ac:dyDescent="0.25"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</row>
    <row r="152" spans="18:32" x14ac:dyDescent="0.25"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</row>
    <row r="153" spans="18:32" x14ac:dyDescent="0.25"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</row>
    <row r="154" spans="18:32" x14ac:dyDescent="0.25"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</row>
    <row r="155" spans="18:32" x14ac:dyDescent="0.25"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</row>
    <row r="156" spans="18:32" x14ac:dyDescent="0.25"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</row>
    <row r="157" spans="18:32" x14ac:dyDescent="0.25"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</row>
    <row r="158" spans="18:32" x14ac:dyDescent="0.25"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</row>
    <row r="159" spans="18:32" x14ac:dyDescent="0.25"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</row>
    <row r="160" spans="18:32" x14ac:dyDescent="0.25"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</row>
    <row r="161" spans="18:32" x14ac:dyDescent="0.25"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</row>
    <row r="162" spans="18:32" x14ac:dyDescent="0.25"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</row>
    <row r="163" spans="18:32" x14ac:dyDescent="0.25"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</row>
    <row r="164" spans="18:32" x14ac:dyDescent="0.25"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</row>
  </sheetData>
  <hyperlinks>
    <hyperlink ref="B4" r:id="rId1"/>
  </hyperlinks>
  <pageMargins left="0.7" right="0.7" top="0.75" bottom="0.75" header="0.3" footer="0.3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68"/>
  <sheetViews>
    <sheetView topLeftCell="A25" workbookViewId="0">
      <selection sqref="A1:XFD1048576"/>
    </sheetView>
  </sheetViews>
  <sheetFormatPr defaultColWidth="8.7109375" defaultRowHeight="15" x14ac:dyDescent="0.25"/>
  <cols>
    <col min="1" max="1" width="4.7109375" customWidth="1"/>
    <col min="2" max="2" width="31.7109375" customWidth="1"/>
    <col min="3" max="3" width="10.140625" hidden="1" customWidth="1"/>
    <col min="4" max="4" width="10.7109375" customWidth="1"/>
    <col min="5" max="5" width="10.28515625" customWidth="1"/>
    <col min="6" max="9" width="10.7109375" bestFit="1" customWidth="1"/>
    <col min="18" max="18" width="2.28515625" customWidth="1"/>
    <col min="23" max="23" width="9.140625" customWidth="1"/>
    <col min="24" max="24" width="2.7109375" customWidth="1"/>
    <col min="26" max="26" width="2" customWidth="1"/>
    <col min="29" max="29" width="2.140625" customWidth="1"/>
    <col min="32" max="32" width="2.7109375" customWidth="1"/>
  </cols>
  <sheetData>
    <row r="1" spans="1:32" ht="27" x14ac:dyDescent="0.5">
      <c r="A1" s="325" t="s">
        <v>452</v>
      </c>
      <c r="F1" s="344" t="s">
        <v>546</v>
      </c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</row>
    <row r="2" spans="1:32" ht="18" thickBot="1" x14ac:dyDescent="0.35">
      <c r="A2" s="295" t="s">
        <v>547</v>
      </c>
      <c r="B2" s="295"/>
      <c r="C2" s="295"/>
      <c r="D2" s="295"/>
      <c r="E2" s="295"/>
      <c r="F2" s="295"/>
      <c r="G2" s="295"/>
      <c r="H2" s="295"/>
      <c r="I2" s="295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</row>
    <row r="3" spans="1:32" ht="15.75" thickTop="1" x14ac:dyDescent="0.25"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</row>
    <row r="4" spans="1:32" x14ac:dyDescent="0.25"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</row>
    <row r="5" spans="1:32" ht="15.75" thickBot="1" x14ac:dyDescent="0.3">
      <c r="A5" s="314" t="s">
        <v>454</v>
      </c>
      <c r="B5" s="314"/>
      <c r="C5" s="305" t="s">
        <v>455</v>
      </c>
      <c r="D5" s="305" t="s">
        <v>456</v>
      </c>
      <c r="E5" s="305" t="s">
        <v>457</v>
      </c>
      <c r="F5" s="305" t="s">
        <v>458</v>
      </c>
      <c r="G5" s="305" t="s">
        <v>459</v>
      </c>
      <c r="H5" s="305" t="s">
        <v>460</v>
      </c>
      <c r="I5" s="305" t="s">
        <v>461</v>
      </c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</row>
    <row r="6" spans="1:32" x14ac:dyDescent="0.25">
      <c r="B6" t="s">
        <v>462</v>
      </c>
      <c r="D6" s="45">
        <v>264</v>
      </c>
      <c r="E6" s="45">
        <v>276</v>
      </c>
      <c r="F6" s="45">
        <v>294</v>
      </c>
      <c r="G6" s="45">
        <v>312</v>
      </c>
      <c r="H6" s="45">
        <v>324</v>
      </c>
      <c r="I6" s="45">
        <v>348</v>
      </c>
      <c r="J6" t="s">
        <v>548</v>
      </c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26"/>
      <c r="AE6" s="326"/>
      <c r="AF6" s="326"/>
    </row>
    <row r="7" spans="1:32" x14ac:dyDescent="0.25">
      <c r="B7" t="s">
        <v>549</v>
      </c>
      <c r="D7" s="45">
        <v>6600</v>
      </c>
      <c r="E7" s="45">
        <v>6571.4285714285716</v>
      </c>
      <c r="F7" s="45">
        <v>6837.2093023255811</v>
      </c>
      <c r="G7" s="45">
        <v>6782.608695652174</v>
      </c>
      <c r="H7" s="45">
        <v>6750</v>
      </c>
      <c r="I7" s="45">
        <v>6692.3076923076924</v>
      </c>
      <c r="J7" t="s">
        <v>550</v>
      </c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</row>
    <row r="8" spans="1:32" x14ac:dyDescent="0.25">
      <c r="B8" t="s">
        <v>551</v>
      </c>
      <c r="D8" s="303">
        <v>1.3</v>
      </c>
      <c r="E8" s="303">
        <v>1.4</v>
      </c>
      <c r="F8" s="303">
        <v>1.4</v>
      </c>
      <c r="G8" s="303">
        <v>1.5</v>
      </c>
      <c r="H8" s="303">
        <v>1.4</v>
      </c>
      <c r="I8" s="303">
        <v>1.6</v>
      </c>
      <c r="J8" t="s">
        <v>467</v>
      </c>
      <c r="R8" s="326"/>
      <c r="S8" s="326"/>
      <c r="T8" s="326"/>
      <c r="U8" s="326"/>
      <c r="V8" s="326"/>
      <c r="W8" s="326"/>
      <c r="X8" s="326"/>
      <c r="Y8" s="326"/>
      <c r="Z8" s="326"/>
      <c r="AA8" s="326"/>
      <c r="AB8" s="326"/>
      <c r="AC8" s="326"/>
      <c r="AD8" s="326"/>
      <c r="AE8" s="326"/>
      <c r="AF8" s="326"/>
    </row>
    <row r="9" spans="1:32" x14ac:dyDescent="0.25">
      <c r="B9" t="s">
        <v>552</v>
      </c>
      <c r="D9" s="303">
        <v>5.5</v>
      </c>
      <c r="E9" s="303">
        <v>7</v>
      </c>
      <c r="F9" s="303">
        <v>5</v>
      </c>
      <c r="G9" s="303">
        <v>6.5</v>
      </c>
      <c r="H9" s="303">
        <v>5.8</v>
      </c>
      <c r="I9" s="303">
        <v>6.2</v>
      </c>
      <c r="J9" t="s">
        <v>469</v>
      </c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6"/>
      <c r="AC9" s="326"/>
      <c r="AD9" s="326"/>
      <c r="AE9" s="326"/>
      <c r="AF9" s="326"/>
    </row>
    <row r="10" spans="1:32" x14ac:dyDescent="0.25">
      <c r="B10" t="s">
        <v>553</v>
      </c>
      <c r="D10" s="45">
        <v>550</v>
      </c>
      <c r="E10" s="45">
        <v>547.61904761904759</v>
      </c>
      <c r="F10" s="45">
        <v>569.76744186046506</v>
      </c>
      <c r="G10" s="45">
        <v>565.21739130434787</v>
      </c>
      <c r="H10" s="45">
        <v>562.5</v>
      </c>
      <c r="I10" s="45">
        <v>557.69230769230774</v>
      </c>
      <c r="J10" t="s">
        <v>554</v>
      </c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6"/>
      <c r="AC10" s="326"/>
      <c r="AD10" s="326"/>
      <c r="AE10" s="326"/>
      <c r="AF10" s="326"/>
    </row>
    <row r="11" spans="1:32" x14ac:dyDescent="0.25">
      <c r="B11" t="s">
        <v>555</v>
      </c>
      <c r="D11" s="45">
        <v>514.3564356435644</v>
      </c>
      <c r="E11" s="45">
        <v>521.05745454545445</v>
      </c>
      <c r="F11" s="45">
        <v>529.57922082840241</v>
      </c>
      <c r="G11" s="45">
        <v>537.97579225496531</v>
      </c>
      <c r="H11" s="45">
        <v>551.71178421171771</v>
      </c>
      <c r="I11" s="45">
        <v>561.81466111462453</v>
      </c>
      <c r="J11" t="s">
        <v>556</v>
      </c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6"/>
      <c r="AC11" s="326"/>
      <c r="AD11" s="326"/>
      <c r="AE11" s="326"/>
      <c r="AF11" s="326"/>
    </row>
    <row r="12" spans="1:32" x14ac:dyDescent="0.25">
      <c r="D12" s="333"/>
      <c r="E12" s="333"/>
      <c r="F12" s="333"/>
      <c r="G12" s="333"/>
      <c r="H12" s="333"/>
      <c r="I12" s="333"/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6"/>
      <c r="AD12" s="326"/>
      <c r="AE12" s="326"/>
      <c r="AF12" s="326"/>
    </row>
    <row r="13" spans="1:32" ht="15.75" thickBot="1" x14ac:dyDescent="0.3">
      <c r="A13" s="314" t="s">
        <v>557</v>
      </c>
      <c r="B13" s="314"/>
      <c r="C13" s="305" t="s">
        <v>455</v>
      </c>
      <c r="D13" s="305" t="s">
        <v>456</v>
      </c>
      <c r="E13" s="305" t="s">
        <v>457</v>
      </c>
      <c r="F13" s="305" t="s">
        <v>458</v>
      </c>
      <c r="G13" s="305" t="s">
        <v>459</v>
      </c>
      <c r="H13" s="305" t="s">
        <v>460</v>
      </c>
      <c r="I13" s="305" t="s">
        <v>461</v>
      </c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</row>
    <row r="14" spans="1:32" x14ac:dyDescent="0.25">
      <c r="B14" t="s">
        <v>558</v>
      </c>
      <c r="D14" s="333">
        <v>264</v>
      </c>
      <c r="E14" s="333">
        <v>276</v>
      </c>
      <c r="F14" s="333">
        <v>294</v>
      </c>
      <c r="G14" s="333">
        <v>312</v>
      </c>
      <c r="H14" s="333">
        <v>324</v>
      </c>
      <c r="I14" s="333">
        <v>348</v>
      </c>
      <c r="J14" t="s">
        <v>559</v>
      </c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</row>
    <row r="15" spans="1:32" x14ac:dyDescent="0.25">
      <c r="B15" t="s">
        <v>560</v>
      </c>
      <c r="D15" s="333">
        <v>-100.80000000000001</v>
      </c>
      <c r="E15" s="333">
        <v>-134.65439999999998</v>
      </c>
      <c r="F15" s="333">
        <v>-108.32784479999999</v>
      </c>
      <c r="G15" s="333">
        <v>-107.398665984</v>
      </c>
      <c r="H15" s="333">
        <v>-106.22224422915839</v>
      </c>
      <c r="I15" s="333">
        <v>-106.06107339686062</v>
      </c>
      <c r="J15" s="333" t="s">
        <v>561</v>
      </c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26"/>
      <c r="AD15" s="326"/>
      <c r="AE15" s="326"/>
      <c r="AF15" s="326"/>
    </row>
    <row r="16" spans="1:32" x14ac:dyDescent="0.25">
      <c r="B16" t="s">
        <v>562</v>
      </c>
      <c r="D16" s="333">
        <v>24</v>
      </c>
      <c r="E16" s="333">
        <v>29.923199999999998</v>
      </c>
      <c r="F16" s="333">
        <v>25.792344</v>
      </c>
      <c r="G16" s="333">
        <v>16.109799897599999</v>
      </c>
      <c r="H16" s="333">
        <v>83.859666496703994</v>
      </c>
      <c r="I16" s="333">
        <v>41.245972987668019</v>
      </c>
      <c r="J16" t="s">
        <v>563</v>
      </c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</row>
    <row r="17" spans="1:32" ht="15.75" thickBot="1" x14ac:dyDescent="0.3">
      <c r="B17" s="309" t="s">
        <v>564</v>
      </c>
      <c r="C17" s="309"/>
      <c r="D17" s="334">
        <f t="shared" ref="D17:I17" si="0">D14+D15+D16</f>
        <v>187.2</v>
      </c>
      <c r="E17" s="334">
        <f t="shared" si="0"/>
        <v>171.26880000000003</v>
      </c>
      <c r="F17" s="334">
        <f t="shared" si="0"/>
        <v>211.46449920000003</v>
      </c>
      <c r="G17" s="334">
        <f t="shared" si="0"/>
        <v>220.71113391360001</v>
      </c>
      <c r="H17" s="334">
        <f t="shared" si="0"/>
        <v>301.63742226754562</v>
      </c>
      <c r="I17" s="334">
        <f t="shared" si="0"/>
        <v>283.18489959080739</v>
      </c>
      <c r="R17" s="326"/>
      <c r="S17" s="326"/>
      <c r="T17" s="326"/>
      <c r="U17" s="326"/>
      <c r="V17" s="326"/>
      <c r="W17" s="326"/>
      <c r="X17" s="326"/>
      <c r="Y17" s="326"/>
      <c r="Z17" s="326"/>
      <c r="AA17" s="326"/>
      <c r="AB17" s="326"/>
      <c r="AC17" s="326"/>
      <c r="AD17" s="326"/>
      <c r="AE17" s="326"/>
      <c r="AF17" s="326"/>
    </row>
    <row r="18" spans="1:32" ht="15.75" thickTop="1" x14ac:dyDescent="0.25">
      <c r="D18" s="333"/>
      <c r="E18" s="333"/>
      <c r="F18" s="333"/>
      <c r="G18" s="333"/>
      <c r="H18" s="333"/>
      <c r="I18" s="333"/>
      <c r="R18" s="326"/>
      <c r="S18" s="326"/>
      <c r="T18" s="326"/>
      <c r="U18" s="326"/>
      <c r="V18" s="326"/>
      <c r="W18" s="326"/>
      <c r="X18" s="326"/>
      <c r="Y18" s="326"/>
      <c r="Z18" s="326"/>
      <c r="AA18" s="326"/>
      <c r="AB18" s="326"/>
      <c r="AC18" s="326"/>
      <c r="AD18" s="326"/>
      <c r="AE18" s="326"/>
      <c r="AF18" s="326"/>
    </row>
    <row r="19" spans="1:32" x14ac:dyDescent="0.25">
      <c r="B19" t="s">
        <v>565</v>
      </c>
      <c r="D19" s="45">
        <f t="shared" ref="D19:I19" si="1">C20</f>
        <v>4800</v>
      </c>
      <c r="E19" s="45">
        <f t="shared" si="1"/>
        <v>4987.2</v>
      </c>
      <c r="F19" s="45">
        <f t="shared" si="1"/>
        <v>5158.4687999999996</v>
      </c>
      <c r="G19" s="45">
        <f t="shared" si="1"/>
        <v>5369.9332992</v>
      </c>
      <c r="H19" s="45">
        <f t="shared" si="1"/>
        <v>5590.6444331135999</v>
      </c>
      <c r="I19" s="45">
        <f t="shared" si="1"/>
        <v>5892.2818553811458</v>
      </c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26"/>
      <c r="AC19" s="326"/>
      <c r="AD19" s="326"/>
      <c r="AE19" s="326"/>
      <c r="AF19" s="326"/>
    </row>
    <row r="20" spans="1:32" x14ac:dyDescent="0.25">
      <c r="B20" t="s">
        <v>566</v>
      </c>
      <c r="C20" s="336">
        <f>400*12</f>
        <v>4800</v>
      </c>
      <c r="D20" s="46">
        <f t="shared" ref="D20:I20" si="2">C20+D17</f>
        <v>4987.2</v>
      </c>
      <c r="E20" s="46">
        <f t="shared" si="2"/>
        <v>5158.4687999999996</v>
      </c>
      <c r="F20" s="46">
        <f t="shared" si="2"/>
        <v>5369.9332992</v>
      </c>
      <c r="G20" s="46">
        <f t="shared" si="2"/>
        <v>5590.6444331135999</v>
      </c>
      <c r="H20" s="46">
        <f t="shared" si="2"/>
        <v>5892.2818553811458</v>
      </c>
      <c r="I20" s="46">
        <f t="shared" si="2"/>
        <v>6175.4667549719534</v>
      </c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</row>
    <row r="21" spans="1:32" x14ac:dyDescent="0.25"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</row>
    <row r="22" spans="1:32" ht="15.75" thickBot="1" x14ac:dyDescent="0.3">
      <c r="A22" s="314" t="s">
        <v>486</v>
      </c>
      <c r="B22" s="314"/>
      <c r="C22" s="305" t="s">
        <v>455</v>
      </c>
      <c r="D22" s="305" t="s">
        <v>456</v>
      </c>
      <c r="E22" s="305" t="s">
        <v>457</v>
      </c>
      <c r="F22" s="305" t="s">
        <v>458</v>
      </c>
      <c r="G22" s="305" t="s">
        <v>459</v>
      </c>
      <c r="H22" s="305" t="s">
        <v>460</v>
      </c>
      <c r="I22" s="305" t="s">
        <v>461</v>
      </c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6"/>
      <c r="AD22" s="326"/>
      <c r="AE22" s="326"/>
      <c r="AF22" s="326"/>
    </row>
    <row r="23" spans="1:32" x14ac:dyDescent="0.25">
      <c r="B23" t="s">
        <v>487</v>
      </c>
      <c r="C23" s="337">
        <v>792</v>
      </c>
      <c r="D23" s="311">
        <f>C23+D26</f>
        <v>808</v>
      </c>
      <c r="E23" s="311">
        <f t="shared" ref="E23:I23" si="3">D23+E26</f>
        <v>825</v>
      </c>
      <c r="F23" s="311">
        <f t="shared" si="3"/>
        <v>845</v>
      </c>
      <c r="G23" s="311">
        <f t="shared" si="3"/>
        <v>866</v>
      </c>
      <c r="H23" s="311">
        <f t="shared" si="3"/>
        <v>890</v>
      </c>
      <c r="I23" s="311">
        <f t="shared" si="3"/>
        <v>916</v>
      </c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</row>
    <row r="24" spans="1:32" x14ac:dyDescent="0.25">
      <c r="B24" t="s">
        <v>488</v>
      </c>
      <c r="D24" s="337">
        <v>40</v>
      </c>
      <c r="E24" s="337">
        <v>42</v>
      </c>
      <c r="F24" s="337">
        <v>43</v>
      </c>
      <c r="G24" s="337">
        <v>46</v>
      </c>
      <c r="H24" s="337">
        <v>48</v>
      </c>
      <c r="I24" s="337">
        <v>52</v>
      </c>
      <c r="R24" s="326"/>
      <c r="S24" s="326"/>
      <c r="T24" s="326"/>
      <c r="U24" s="326"/>
      <c r="V24" s="326"/>
      <c r="W24" s="326"/>
      <c r="X24" s="326"/>
      <c r="Y24" s="326"/>
      <c r="Z24" s="326"/>
      <c r="AA24" s="326"/>
      <c r="AB24" s="326"/>
      <c r="AC24" s="326"/>
      <c r="AD24" s="326"/>
      <c r="AE24" s="326"/>
      <c r="AF24" s="326"/>
    </row>
    <row r="25" spans="1:32" x14ac:dyDescent="0.25">
      <c r="B25" t="s">
        <v>489</v>
      </c>
      <c r="D25" s="311">
        <v>-24</v>
      </c>
      <c r="E25" s="311">
        <f>-ROUND(3.1%*D23,0)</f>
        <v>-25</v>
      </c>
      <c r="F25" s="311">
        <f>-ROUND(2.8%*E23,0)</f>
        <v>-23</v>
      </c>
      <c r="G25" s="311">
        <f>-ROUND(2.9%*F23,0)</f>
        <v>-25</v>
      </c>
      <c r="H25" s="311">
        <f>-ROUND(2.8%*G23,0)</f>
        <v>-24</v>
      </c>
      <c r="I25" s="311">
        <f>-ROUND(2.9%*H23,0)</f>
        <v>-26</v>
      </c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</row>
    <row r="26" spans="1:32" x14ac:dyDescent="0.25">
      <c r="B26" s="338" t="s">
        <v>490</v>
      </c>
      <c r="C26" s="339"/>
      <c r="D26" s="340">
        <f t="shared" ref="D26:I26" si="4">D24+D25</f>
        <v>16</v>
      </c>
      <c r="E26" s="340">
        <f t="shared" si="4"/>
        <v>17</v>
      </c>
      <c r="F26" s="340">
        <f t="shared" si="4"/>
        <v>20</v>
      </c>
      <c r="G26" s="340">
        <f t="shared" si="4"/>
        <v>21</v>
      </c>
      <c r="H26" s="340">
        <f t="shared" si="4"/>
        <v>24</v>
      </c>
      <c r="I26" s="340">
        <f t="shared" si="4"/>
        <v>26</v>
      </c>
      <c r="J26" t="s">
        <v>491</v>
      </c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26"/>
      <c r="AC26" s="326"/>
      <c r="AD26" s="326"/>
      <c r="AE26" s="326"/>
      <c r="AF26" s="326"/>
    </row>
    <row r="27" spans="1:32" x14ac:dyDescent="0.25"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6"/>
      <c r="AD27" s="326"/>
      <c r="AE27" s="326"/>
      <c r="AF27" s="326"/>
    </row>
    <row r="28" spans="1:32" x14ac:dyDescent="0.25">
      <c r="B28" t="s">
        <v>492</v>
      </c>
      <c r="D28" s="299">
        <f t="shared" ref="D28:I28" si="5">-D25/C23</f>
        <v>3.0303030303030304E-2</v>
      </c>
      <c r="E28" s="299">
        <f t="shared" si="5"/>
        <v>3.094059405940594E-2</v>
      </c>
      <c r="F28" s="299">
        <f t="shared" si="5"/>
        <v>2.7878787878787878E-2</v>
      </c>
      <c r="G28" s="299">
        <f t="shared" si="5"/>
        <v>2.9585798816568046E-2</v>
      </c>
      <c r="H28" s="299">
        <f t="shared" si="5"/>
        <v>2.771362586605081E-2</v>
      </c>
      <c r="I28" s="299">
        <f t="shared" si="5"/>
        <v>2.9213483146067417E-2</v>
      </c>
      <c r="J28" t="s">
        <v>493</v>
      </c>
      <c r="R28" s="326"/>
      <c r="S28" s="326"/>
      <c r="T28" s="326"/>
      <c r="U28" s="326"/>
      <c r="V28" s="326"/>
      <c r="W28" s="326"/>
      <c r="X28" s="326"/>
      <c r="Y28" s="326"/>
      <c r="Z28" s="326"/>
      <c r="AA28" s="326"/>
      <c r="AB28" s="326"/>
      <c r="AC28" s="326"/>
      <c r="AD28" s="326"/>
      <c r="AE28" s="326"/>
      <c r="AF28" s="326"/>
    </row>
    <row r="29" spans="1:32" x14ac:dyDescent="0.25">
      <c r="B29" t="s">
        <v>567</v>
      </c>
      <c r="D29" s="299">
        <v>2.1000000000000001E-2</v>
      </c>
      <c r="E29" s="299">
        <v>2.7E-2</v>
      </c>
      <c r="F29" s="299">
        <v>2.1000000000000001E-2</v>
      </c>
      <c r="G29" s="299">
        <v>0.02</v>
      </c>
      <c r="H29" s="299">
        <v>1.9E-2</v>
      </c>
      <c r="I29" s="299">
        <v>1.7999999999999999E-2</v>
      </c>
      <c r="J29" t="s">
        <v>495</v>
      </c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26"/>
      <c r="AC29" s="326"/>
      <c r="AD29" s="326"/>
      <c r="AE29" s="326"/>
      <c r="AF29" s="326"/>
    </row>
    <row r="30" spans="1:32" x14ac:dyDescent="0.25">
      <c r="B30" t="s">
        <v>568</v>
      </c>
      <c r="D30" s="299">
        <v>5.0000000000000001E-3</v>
      </c>
      <c r="E30" s="299">
        <v>6.0000000000000001E-3</v>
      </c>
      <c r="F30" s="299">
        <v>5.0000000000000001E-3</v>
      </c>
      <c r="G30" s="299">
        <v>3.0000000000000001E-3</v>
      </c>
      <c r="H30" s="299">
        <v>1.4999999999999999E-2</v>
      </c>
      <c r="I30" s="299">
        <v>7.0000000000000001E-3</v>
      </c>
      <c r="J30" t="s">
        <v>497</v>
      </c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</row>
    <row r="31" spans="1:32" x14ac:dyDescent="0.25">
      <c r="B31" s="338" t="s">
        <v>569</v>
      </c>
      <c r="C31" s="338"/>
      <c r="D31" s="341">
        <f t="shared" ref="D31:I31" si="6">(-D15-D16)/D19</f>
        <v>1.6000000000000004E-2</v>
      </c>
      <c r="E31" s="341">
        <f t="shared" si="6"/>
        <v>2.0999999999999998E-2</v>
      </c>
      <c r="F31" s="341">
        <f t="shared" si="6"/>
        <v>1.6E-2</v>
      </c>
      <c r="G31" s="341">
        <f t="shared" si="6"/>
        <v>1.7000000000000001E-2</v>
      </c>
      <c r="H31" s="341">
        <f t="shared" si="6"/>
        <v>3.9999999999999992E-3</v>
      </c>
      <c r="I31" s="341">
        <f t="shared" si="6"/>
        <v>1.1000000000000001E-2</v>
      </c>
      <c r="J31" t="s">
        <v>499</v>
      </c>
      <c r="R31" s="326"/>
      <c r="S31" s="326"/>
      <c r="T31" s="326"/>
      <c r="U31" s="326"/>
      <c r="V31" s="326"/>
      <c r="W31" s="326"/>
      <c r="X31" s="326"/>
      <c r="Y31" s="326"/>
      <c r="Z31" s="326"/>
      <c r="AA31" s="326"/>
      <c r="AB31" s="326"/>
      <c r="AC31" s="326"/>
      <c r="AD31" s="326"/>
      <c r="AE31" s="326"/>
      <c r="AF31" s="326"/>
    </row>
    <row r="32" spans="1:32" x14ac:dyDescent="0.25">
      <c r="D32" s="299"/>
      <c r="E32" s="299"/>
      <c r="F32" s="299"/>
      <c r="G32" s="299"/>
      <c r="H32" s="299"/>
      <c r="I32" s="299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26"/>
      <c r="AC32" s="326"/>
      <c r="AD32" s="326"/>
      <c r="AE32" s="326"/>
      <c r="AF32" s="326"/>
    </row>
    <row r="33" spans="1:32" x14ac:dyDescent="0.25">
      <c r="B33" t="s">
        <v>570</v>
      </c>
      <c r="D33" s="299"/>
      <c r="E33" s="299"/>
      <c r="F33" s="299"/>
      <c r="G33" s="299"/>
      <c r="H33" s="299"/>
      <c r="I33" s="299"/>
      <c r="J33" t="s">
        <v>571</v>
      </c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26"/>
      <c r="AC33" s="326"/>
      <c r="AD33" s="326"/>
      <c r="AE33" s="326"/>
      <c r="AF33" s="326"/>
    </row>
    <row r="34" spans="1:32" x14ac:dyDescent="0.25">
      <c r="B34" t="s">
        <v>572</v>
      </c>
      <c r="D34" s="299"/>
      <c r="E34" s="299"/>
      <c r="F34" s="299"/>
      <c r="G34" s="299"/>
      <c r="H34" s="299"/>
      <c r="I34" s="299"/>
      <c r="J34" t="s">
        <v>573</v>
      </c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6"/>
      <c r="AE34" s="326"/>
      <c r="AF34" s="326"/>
    </row>
    <row r="35" spans="1:32" x14ac:dyDescent="0.25"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</row>
    <row r="36" spans="1:32" x14ac:dyDescent="0.25">
      <c r="B36" t="s">
        <v>500</v>
      </c>
      <c r="D36">
        <v>121</v>
      </c>
      <c r="E36">
        <v>120</v>
      </c>
      <c r="F36">
        <v>125</v>
      </c>
      <c r="G36">
        <v>126</v>
      </c>
      <c r="H36">
        <v>130</v>
      </c>
      <c r="I36">
        <v>135</v>
      </c>
      <c r="J36" t="s">
        <v>501</v>
      </c>
      <c r="R36" s="326"/>
      <c r="S36" s="326"/>
      <c r="T36" s="326"/>
      <c r="U36" s="326"/>
      <c r="V36" s="326"/>
      <c r="W36" s="326"/>
      <c r="X36" s="326"/>
      <c r="Y36" s="326"/>
      <c r="Z36" s="326"/>
      <c r="AA36" s="326"/>
      <c r="AB36" s="326"/>
      <c r="AC36" s="326"/>
      <c r="AD36" s="326"/>
      <c r="AE36" s="326"/>
      <c r="AF36" s="326"/>
    </row>
    <row r="37" spans="1:32" x14ac:dyDescent="0.25">
      <c r="B37" t="s">
        <v>502</v>
      </c>
      <c r="D37" s="337">
        <v>28</v>
      </c>
      <c r="E37" s="337">
        <v>27</v>
      </c>
      <c r="F37" s="337">
        <v>29</v>
      </c>
      <c r="G37" s="337">
        <v>32</v>
      </c>
      <c r="H37" s="337">
        <v>33</v>
      </c>
      <c r="I37" s="337">
        <v>35</v>
      </c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26"/>
      <c r="AC37" s="326"/>
      <c r="AD37" s="326"/>
      <c r="AE37" s="326"/>
      <c r="AF37" s="326"/>
    </row>
    <row r="38" spans="1:32" x14ac:dyDescent="0.25"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</row>
    <row r="39" spans="1:32" ht="15.75" thickBot="1" x14ac:dyDescent="0.3">
      <c r="A39" s="314" t="s">
        <v>503</v>
      </c>
      <c r="B39" s="314"/>
      <c r="C39" s="305" t="s">
        <v>455</v>
      </c>
      <c r="D39" s="305" t="s">
        <v>456</v>
      </c>
      <c r="E39" s="305" t="s">
        <v>457</v>
      </c>
      <c r="F39" s="305" t="s">
        <v>458</v>
      </c>
      <c r="G39" s="305" t="s">
        <v>459</v>
      </c>
      <c r="H39" s="305" t="s">
        <v>460</v>
      </c>
      <c r="I39" s="305" t="s">
        <v>461</v>
      </c>
      <c r="R39" s="326"/>
      <c r="S39" s="326"/>
      <c r="T39" s="326"/>
      <c r="U39" s="326"/>
      <c r="V39" s="326"/>
      <c r="W39" s="326"/>
      <c r="X39" s="326"/>
      <c r="Y39" s="326"/>
      <c r="Z39" s="326"/>
      <c r="AA39" s="326"/>
      <c r="AB39" s="326"/>
      <c r="AC39" s="326"/>
      <c r="AD39" s="326"/>
      <c r="AE39" s="326"/>
      <c r="AF39" s="326"/>
    </row>
    <row r="40" spans="1:32" x14ac:dyDescent="0.25">
      <c r="B40" t="s">
        <v>504</v>
      </c>
      <c r="D40" s="46">
        <f t="shared" ref="D40:I40" si="7">D10*D52/D29</f>
        <v>21738.095238095237</v>
      </c>
      <c r="E40" s="46">
        <f t="shared" si="7"/>
        <v>16834.2151675485</v>
      </c>
      <c r="F40" s="46">
        <f t="shared" si="7"/>
        <v>22519.379844961233</v>
      </c>
      <c r="G40" s="46">
        <f t="shared" si="7"/>
        <v>23456.521739130432</v>
      </c>
      <c r="H40" s="46">
        <f t="shared" si="7"/>
        <v>24572.368421052633</v>
      </c>
      <c r="I40" s="46">
        <f t="shared" si="7"/>
        <v>25715.811965811969</v>
      </c>
      <c r="J40" t="s">
        <v>505</v>
      </c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</row>
    <row r="41" spans="1:32" x14ac:dyDescent="0.25">
      <c r="B41" t="s">
        <v>395</v>
      </c>
      <c r="D41" s="45">
        <f t="shared" ref="D41:I41" si="8">D55/D24*1000</f>
        <v>8750</v>
      </c>
      <c r="E41" s="45">
        <f t="shared" si="8"/>
        <v>8571.4285714285706</v>
      </c>
      <c r="F41" s="45">
        <f t="shared" si="8"/>
        <v>8604.6511627906966</v>
      </c>
      <c r="G41" s="45">
        <f t="shared" si="8"/>
        <v>8260.8695652173901</v>
      </c>
      <c r="H41" s="45">
        <f t="shared" si="8"/>
        <v>8125</v>
      </c>
      <c r="I41" s="45">
        <f t="shared" si="8"/>
        <v>7692.3076923076924</v>
      </c>
      <c r="J41" t="s">
        <v>506</v>
      </c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</row>
    <row r="42" spans="1:32" x14ac:dyDescent="0.25">
      <c r="B42" t="s">
        <v>507</v>
      </c>
      <c r="D42" s="303">
        <f t="shared" ref="D42:I42" si="9">D40/D41</f>
        <v>2.4843537414965984</v>
      </c>
      <c r="E42" s="303">
        <f t="shared" si="9"/>
        <v>1.9639917695473252</v>
      </c>
      <c r="F42" s="303">
        <f t="shared" si="9"/>
        <v>2.6171171171171168</v>
      </c>
      <c r="G42" s="303">
        <f t="shared" si="9"/>
        <v>2.8394736842105264</v>
      </c>
      <c r="H42" s="303">
        <f t="shared" si="9"/>
        <v>3.024291497975709</v>
      </c>
      <c r="I42" s="303">
        <f t="shared" si="9"/>
        <v>3.3430555555555559</v>
      </c>
      <c r="J42" t="s">
        <v>508</v>
      </c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</row>
    <row r="43" spans="1:32" x14ac:dyDescent="0.25">
      <c r="B43" t="s">
        <v>509</v>
      </c>
      <c r="D43" s="337">
        <f t="shared" ref="D43:I43" si="10">D41/(D10*D52)</f>
        <v>19.167579408543265</v>
      </c>
      <c r="E43" s="337">
        <f t="shared" si="10"/>
        <v>18.858040859088529</v>
      </c>
      <c r="F43" s="337">
        <f t="shared" si="10"/>
        <v>18.195229899188593</v>
      </c>
      <c r="G43" s="337">
        <f t="shared" si="10"/>
        <v>17.608897126969413</v>
      </c>
      <c r="H43" s="337">
        <f t="shared" si="10"/>
        <v>17.402945113788487</v>
      </c>
      <c r="I43" s="337">
        <f t="shared" si="10"/>
        <v>16.618196925633569</v>
      </c>
      <c r="J43" t="s">
        <v>510</v>
      </c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</row>
    <row r="44" spans="1:32" x14ac:dyDescent="0.25"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</row>
    <row r="45" spans="1:32" x14ac:dyDescent="0.25">
      <c r="R45" s="326"/>
      <c r="S45" s="326"/>
      <c r="T45" s="326"/>
      <c r="U45" s="326"/>
      <c r="V45" s="326"/>
      <c r="W45" s="326"/>
      <c r="X45" s="326"/>
      <c r="Y45" s="326"/>
      <c r="Z45" s="326"/>
      <c r="AA45" s="326"/>
      <c r="AB45" s="326"/>
      <c r="AC45" s="326"/>
      <c r="AD45" s="326"/>
      <c r="AE45" s="326"/>
      <c r="AF45" s="326"/>
    </row>
    <row r="46" spans="1:32" x14ac:dyDescent="0.25">
      <c r="R46" s="326"/>
      <c r="S46" s="326"/>
      <c r="T46" s="326"/>
      <c r="U46" s="326"/>
      <c r="V46" s="326"/>
      <c r="W46" s="326"/>
      <c r="X46" s="326"/>
      <c r="Y46" s="326"/>
      <c r="Z46" s="326"/>
      <c r="AA46" s="326"/>
      <c r="AB46" s="326"/>
      <c r="AC46" s="326"/>
      <c r="AD46" s="326"/>
      <c r="AE46" s="326"/>
      <c r="AF46" s="326"/>
    </row>
    <row r="47" spans="1:32" ht="15.75" thickBot="1" x14ac:dyDescent="0.3">
      <c r="A47" s="314" t="s">
        <v>511</v>
      </c>
      <c r="B47" s="314"/>
      <c r="C47" s="305" t="s">
        <v>455</v>
      </c>
      <c r="D47" s="305" t="s">
        <v>456</v>
      </c>
      <c r="E47" s="305" t="s">
        <v>457</v>
      </c>
      <c r="F47" s="305" t="s">
        <v>458</v>
      </c>
      <c r="G47" s="305" t="s">
        <v>459</v>
      </c>
      <c r="H47" s="305" t="s">
        <v>460</v>
      </c>
      <c r="I47" s="305" t="s">
        <v>461</v>
      </c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</row>
    <row r="48" spans="1:32" x14ac:dyDescent="0.25">
      <c r="B48" t="s">
        <v>512</v>
      </c>
      <c r="D48" s="45">
        <v>505</v>
      </c>
      <c r="E48" s="45">
        <v>515</v>
      </c>
      <c r="F48" s="45">
        <v>520</v>
      </c>
      <c r="G48" s="45">
        <v>490</v>
      </c>
      <c r="H48" s="45">
        <v>540</v>
      </c>
      <c r="I48" s="45">
        <v>560</v>
      </c>
      <c r="J48" t="s">
        <v>513</v>
      </c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</row>
    <row r="49" spans="1:32" x14ac:dyDescent="0.25">
      <c r="B49" t="s">
        <v>514</v>
      </c>
      <c r="D49" s="45">
        <v>4987.2</v>
      </c>
      <c r="E49" s="45">
        <v>5158.4687999999996</v>
      </c>
      <c r="F49" s="45">
        <v>5369.9332992</v>
      </c>
      <c r="G49" s="45">
        <v>5590.6444331135999</v>
      </c>
      <c r="H49" s="45">
        <v>5892.2818553811458</v>
      </c>
      <c r="I49" s="45">
        <v>6175.4667549719534</v>
      </c>
      <c r="J49" t="s">
        <v>515</v>
      </c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</row>
    <row r="50" spans="1:32" x14ac:dyDescent="0.25">
      <c r="B50" t="s">
        <v>516</v>
      </c>
      <c r="D50" s="46">
        <v>847.82400000000018</v>
      </c>
      <c r="E50" s="46">
        <v>876.93969600000014</v>
      </c>
      <c r="F50" s="46">
        <v>912.88866086400026</v>
      </c>
      <c r="G50" s="46">
        <v>950.4095536293122</v>
      </c>
      <c r="H50" s="46">
        <v>1001.687915414795</v>
      </c>
      <c r="I50" s="46">
        <v>1049.8293483452323</v>
      </c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</row>
    <row r="51" spans="1:32" x14ac:dyDescent="0.25">
      <c r="B51" t="s">
        <v>517</v>
      </c>
      <c r="D51" s="46">
        <f t="shared" ref="D51:I51" si="11">D49-D50</f>
        <v>4139.3759999999993</v>
      </c>
      <c r="E51" s="46">
        <f t="shared" si="11"/>
        <v>4281.5291039999993</v>
      </c>
      <c r="F51" s="46">
        <f t="shared" si="11"/>
        <v>4457.0446383359995</v>
      </c>
      <c r="G51" s="46">
        <f t="shared" si="11"/>
        <v>4640.2348794842874</v>
      </c>
      <c r="H51" s="46">
        <f t="shared" si="11"/>
        <v>4890.5939399663512</v>
      </c>
      <c r="I51" s="46">
        <f t="shared" si="11"/>
        <v>5125.6374066267208</v>
      </c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</row>
    <row r="52" spans="1:32" x14ac:dyDescent="0.25">
      <c r="B52" t="s">
        <v>314</v>
      </c>
      <c r="D52" s="342">
        <v>0.83</v>
      </c>
      <c r="E52" s="342">
        <v>0.83</v>
      </c>
      <c r="F52" s="342">
        <v>0.83</v>
      </c>
      <c r="G52" s="342">
        <v>0.83</v>
      </c>
      <c r="H52" s="342">
        <v>0.83</v>
      </c>
      <c r="I52" s="342">
        <v>0.83</v>
      </c>
      <c r="R52" s="326"/>
      <c r="S52" s="326"/>
      <c r="T52" s="326"/>
      <c r="U52" s="326"/>
      <c r="V52" s="326"/>
      <c r="W52" s="326"/>
      <c r="X52" s="326"/>
      <c r="Y52" s="326"/>
      <c r="Z52" s="326"/>
      <c r="AA52" s="326"/>
      <c r="AB52" s="326"/>
      <c r="AC52" s="326"/>
      <c r="AD52" s="326"/>
      <c r="AE52" s="326"/>
      <c r="AF52" s="326"/>
    </row>
    <row r="53" spans="1:32" x14ac:dyDescent="0.25"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6"/>
      <c r="AC53" s="326"/>
      <c r="AD53" s="326"/>
      <c r="AE53" s="326"/>
      <c r="AF53" s="326"/>
    </row>
    <row r="54" spans="1:32" x14ac:dyDescent="0.25">
      <c r="B54" t="s">
        <v>144</v>
      </c>
      <c r="D54" s="46">
        <f t="shared" ref="D54:I54" si="12">SUM(D55:D57)</f>
        <v>640</v>
      </c>
      <c r="E54" s="46">
        <f t="shared" si="12"/>
        <v>650</v>
      </c>
      <c r="F54" s="46">
        <f t="shared" si="12"/>
        <v>660</v>
      </c>
      <c r="G54" s="46">
        <f t="shared" si="12"/>
        <v>670</v>
      </c>
      <c r="H54" s="46">
        <f t="shared" si="12"/>
        <v>680</v>
      </c>
      <c r="I54" s="46">
        <f t="shared" si="12"/>
        <v>690</v>
      </c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</row>
    <row r="55" spans="1:32" x14ac:dyDescent="0.25">
      <c r="B55" t="s">
        <v>518</v>
      </c>
      <c r="D55" s="46">
        <v>350</v>
      </c>
      <c r="E55" s="46">
        <v>360</v>
      </c>
      <c r="F55" s="46">
        <v>370</v>
      </c>
      <c r="G55" s="46">
        <v>380</v>
      </c>
      <c r="H55" s="46">
        <v>390</v>
      </c>
      <c r="I55" s="46">
        <v>400</v>
      </c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26"/>
      <c r="AC55" s="326"/>
      <c r="AD55" s="326"/>
      <c r="AE55" s="326"/>
      <c r="AF55" s="326"/>
    </row>
    <row r="56" spans="1:32" x14ac:dyDescent="0.25">
      <c r="B56" t="s">
        <v>519</v>
      </c>
      <c r="D56" s="46">
        <v>180</v>
      </c>
      <c r="E56" s="46">
        <v>180</v>
      </c>
      <c r="F56" s="46">
        <v>180</v>
      </c>
      <c r="G56" s="46">
        <v>180</v>
      </c>
      <c r="H56" s="46">
        <v>180</v>
      </c>
      <c r="I56" s="46">
        <v>180</v>
      </c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26"/>
      <c r="AC56" s="326"/>
      <c r="AD56" s="326"/>
      <c r="AE56" s="326"/>
      <c r="AF56" s="326"/>
    </row>
    <row r="57" spans="1:32" x14ac:dyDescent="0.25">
      <c r="B57" t="s">
        <v>520</v>
      </c>
      <c r="D57" s="46">
        <v>110</v>
      </c>
      <c r="E57" s="46">
        <v>110</v>
      </c>
      <c r="F57" s="46">
        <v>110</v>
      </c>
      <c r="G57" s="46">
        <v>110</v>
      </c>
      <c r="H57" s="46">
        <v>110</v>
      </c>
      <c r="I57" s="46">
        <v>110</v>
      </c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</row>
    <row r="58" spans="1:32" x14ac:dyDescent="0.25"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</row>
    <row r="59" spans="1:32" ht="15.75" thickBot="1" x14ac:dyDescent="0.3">
      <c r="B59" s="309" t="s">
        <v>284</v>
      </c>
      <c r="C59" s="309"/>
      <c r="D59" s="343">
        <f>D51-D54</f>
        <v>3499.3759999999993</v>
      </c>
      <c r="E59" s="343">
        <f t="shared" ref="E59:I59" si="13">E51-E54</f>
        <v>3631.5291039999993</v>
      </c>
      <c r="F59" s="343">
        <f t="shared" si="13"/>
        <v>3797.0446383359995</v>
      </c>
      <c r="G59" s="343">
        <f t="shared" si="13"/>
        <v>3970.2348794842874</v>
      </c>
      <c r="H59" s="343">
        <f t="shared" si="13"/>
        <v>4210.5939399663512</v>
      </c>
      <c r="I59" s="343">
        <f t="shared" si="13"/>
        <v>4435.6374066267208</v>
      </c>
      <c r="J59" t="s">
        <v>521</v>
      </c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</row>
    <row r="60" spans="1:32" ht="15.75" thickTop="1" x14ac:dyDescent="0.25">
      <c r="B60" t="s">
        <v>522</v>
      </c>
      <c r="D60" s="46">
        <f t="shared" ref="D60:I60" si="14">D48*D52-D54</f>
        <v>-220.85000000000002</v>
      </c>
      <c r="E60" s="46">
        <f t="shared" si="14"/>
        <v>-222.55</v>
      </c>
      <c r="F60" s="46">
        <f t="shared" si="14"/>
        <v>-228.40000000000003</v>
      </c>
      <c r="G60" s="46">
        <f t="shared" si="14"/>
        <v>-263.3</v>
      </c>
      <c r="H60" s="46">
        <f t="shared" si="14"/>
        <v>-231.8</v>
      </c>
      <c r="I60" s="46">
        <f t="shared" si="14"/>
        <v>-225.20000000000005</v>
      </c>
      <c r="J60" t="s">
        <v>523</v>
      </c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</row>
    <row r="61" spans="1:32" x14ac:dyDescent="0.25">
      <c r="J61" t="s">
        <v>524</v>
      </c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</row>
    <row r="62" spans="1:32" x14ac:dyDescent="0.25"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</row>
    <row r="63" spans="1:32" ht="15.75" thickBot="1" x14ac:dyDescent="0.3">
      <c r="A63" s="314" t="s">
        <v>525</v>
      </c>
      <c r="B63" s="314"/>
      <c r="C63" s="305" t="s">
        <v>455</v>
      </c>
      <c r="D63" s="305" t="s">
        <v>456</v>
      </c>
      <c r="E63" s="305" t="s">
        <v>457</v>
      </c>
      <c r="F63" s="305" t="s">
        <v>458</v>
      </c>
      <c r="G63" s="305" t="s">
        <v>459</v>
      </c>
      <c r="H63" s="305" t="s">
        <v>460</v>
      </c>
      <c r="I63" s="305" t="s">
        <v>461</v>
      </c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</row>
    <row r="64" spans="1:32" x14ac:dyDescent="0.25">
      <c r="B64" t="s">
        <v>526</v>
      </c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</row>
    <row r="65" spans="1:32" x14ac:dyDescent="0.25">
      <c r="B65" t="s">
        <v>527</v>
      </c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</row>
    <row r="66" spans="1:32" x14ac:dyDescent="0.25">
      <c r="B66" t="s">
        <v>528</v>
      </c>
      <c r="D66" s="333"/>
      <c r="E66" s="333"/>
      <c r="F66" s="333"/>
      <c r="G66" s="333"/>
      <c r="H66" s="333"/>
      <c r="I66" s="333"/>
      <c r="J66" t="s">
        <v>529</v>
      </c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</row>
    <row r="67" spans="1:32" x14ac:dyDescent="0.25"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</row>
    <row r="68" spans="1:32" x14ac:dyDescent="0.25">
      <c r="R68" s="326"/>
      <c r="S68" s="326"/>
      <c r="T68" s="326"/>
      <c r="U68" s="326"/>
      <c r="V68" s="326"/>
      <c r="W68" s="326"/>
      <c r="X68" s="326"/>
      <c r="Y68" s="326"/>
      <c r="Z68" s="326"/>
      <c r="AA68" s="326"/>
      <c r="AB68" s="326"/>
      <c r="AC68" s="326"/>
      <c r="AD68" s="326"/>
      <c r="AE68" s="326"/>
      <c r="AF68" s="326"/>
    </row>
    <row r="69" spans="1:32" ht="15.75" thickBot="1" x14ac:dyDescent="0.3">
      <c r="A69" s="314" t="s">
        <v>530</v>
      </c>
      <c r="B69" s="314"/>
      <c r="D69" s="305" t="s">
        <v>456</v>
      </c>
      <c r="E69" s="305" t="s">
        <v>457</v>
      </c>
      <c r="F69" s="305" t="s">
        <v>458</v>
      </c>
      <c r="G69" s="305" t="s">
        <v>459</v>
      </c>
      <c r="H69" s="305" t="s">
        <v>460</v>
      </c>
      <c r="I69" s="305" t="s">
        <v>461</v>
      </c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6"/>
      <c r="AC69" s="326"/>
      <c r="AD69" s="326"/>
      <c r="AE69" s="326"/>
      <c r="AF69" s="326"/>
    </row>
    <row r="70" spans="1:32" x14ac:dyDescent="0.25">
      <c r="B70" t="s">
        <v>574</v>
      </c>
      <c r="D70" s="337">
        <v>3611</v>
      </c>
      <c r="E70" s="337">
        <v>3429</v>
      </c>
      <c r="F70" s="337">
        <v>5200</v>
      </c>
      <c r="G70" s="337">
        <v>5357</v>
      </c>
      <c r="H70" s="337">
        <v>4684</v>
      </c>
      <c r="I70" s="337">
        <v>4400</v>
      </c>
      <c r="R70" s="326"/>
      <c r="S70" s="326"/>
      <c r="T70" s="326"/>
      <c r="U70" s="326"/>
      <c r="V70" s="326"/>
      <c r="W70" s="326"/>
      <c r="X70" s="326"/>
      <c r="Y70" s="326"/>
      <c r="Z70" s="326"/>
      <c r="AA70" s="326"/>
      <c r="AB70" s="326"/>
      <c r="AC70" s="326"/>
      <c r="AD70" s="326"/>
      <c r="AE70" s="326"/>
      <c r="AF70" s="326"/>
    </row>
    <row r="71" spans="1:32" x14ac:dyDescent="0.25">
      <c r="B71" t="s">
        <v>575</v>
      </c>
      <c r="D71" s="87">
        <v>1.7999999999999999E-2</v>
      </c>
      <c r="E71" s="87">
        <v>2.1000000000000001E-2</v>
      </c>
      <c r="F71" s="87">
        <v>1.4999999999999999E-2</v>
      </c>
      <c r="G71" s="87">
        <v>1.4E-2</v>
      </c>
      <c r="H71" s="87">
        <v>1.9E-2</v>
      </c>
      <c r="I71" s="87">
        <v>0.02</v>
      </c>
      <c r="R71" s="326"/>
      <c r="S71" s="326"/>
      <c r="T71" s="326"/>
      <c r="U71" s="326"/>
      <c r="V71" s="326"/>
      <c r="W71" s="326"/>
      <c r="X71" s="326"/>
      <c r="Y71" s="326"/>
      <c r="Z71" s="326"/>
      <c r="AA71" s="326"/>
      <c r="AB71" s="326"/>
      <c r="AC71" s="326"/>
      <c r="AD71" s="326"/>
      <c r="AE71" s="326"/>
      <c r="AF71" s="326"/>
    </row>
    <row r="72" spans="1:32" x14ac:dyDescent="0.25">
      <c r="B72" t="s">
        <v>576</v>
      </c>
      <c r="D72" s="337">
        <v>65</v>
      </c>
      <c r="E72" s="337">
        <v>72</v>
      </c>
      <c r="F72" s="337">
        <v>78</v>
      </c>
      <c r="G72" s="337">
        <v>75</v>
      </c>
      <c r="H72" s="337">
        <v>89</v>
      </c>
      <c r="I72" s="337">
        <v>88</v>
      </c>
      <c r="R72" s="326"/>
      <c r="S72" s="326"/>
      <c r="T72" s="326"/>
      <c r="U72" s="326"/>
      <c r="V72" s="326"/>
      <c r="W72" s="326"/>
      <c r="X72" s="326"/>
      <c r="Y72" s="326"/>
      <c r="Z72" s="326"/>
      <c r="AA72" s="326"/>
      <c r="AB72" s="326"/>
      <c r="AC72" s="326"/>
      <c r="AD72" s="326"/>
      <c r="AE72" s="326"/>
      <c r="AF72" s="326"/>
    </row>
    <row r="73" spans="1:32" x14ac:dyDescent="0.25">
      <c r="B73" t="s">
        <v>577</v>
      </c>
      <c r="D73" s="342">
        <v>0.62</v>
      </c>
      <c r="E73" s="342">
        <v>0.57999999999999996</v>
      </c>
      <c r="F73" s="342">
        <v>0.55000000000000004</v>
      </c>
      <c r="G73" s="342">
        <v>0.61</v>
      </c>
      <c r="H73" s="342">
        <v>0.54</v>
      </c>
      <c r="I73" s="342">
        <v>0.59</v>
      </c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</row>
    <row r="74" spans="1:32" x14ac:dyDescent="0.25">
      <c r="B74" t="s">
        <v>578</v>
      </c>
      <c r="D74" s="342">
        <v>0.75</v>
      </c>
      <c r="E74" s="342">
        <v>0.82</v>
      </c>
      <c r="F74" s="342">
        <v>0.65</v>
      </c>
      <c r="G74" s="342">
        <v>0.79</v>
      </c>
      <c r="H74" s="342">
        <v>0.85</v>
      </c>
      <c r="I74" s="342">
        <v>0.78</v>
      </c>
      <c r="R74" s="326"/>
      <c r="S74" s="326"/>
      <c r="T74" s="326"/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</row>
    <row r="75" spans="1:32" x14ac:dyDescent="0.25">
      <c r="R75" s="326"/>
      <c r="S75" s="326"/>
      <c r="T75" s="326"/>
      <c r="U75" s="326"/>
      <c r="V75" s="326"/>
      <c r="W75" s="326"/>
      <c r="X75" s="326"/>
      <c r="Y75" s="326"/>
      <c r="Z75" s="326"/>
      <c r="AA75" s="326"/>
      <c r="AB75" s="326"/>
      <c r="AC75" s="326"/>
      <c r="AD75" s="326"/>
      <c r="AE75" s="326"/>
      <c r="AF75" s="326"/>
    </row>
    <row r="76" spans="1:32" ht="15.75" thickBot="1" x14ac:dyDescent="0.3">
      <c r="A76" s="314" t="s">
        <v>535</v>
      </c>
      <c r="B76" s="314"/>
      <c r="D76" s="305" t="s">
        <v>456</v>
      </c>
      <c r="E76" s="305" t="s">
        <v>457</v>
      </c>
      <c r="F76" s="305" t="s">
        <v>458</v>
      </c>
      <c r="G76" s="305" t="s">
        <v>459</v>
      </c>
      <c r="H76" s="305" t="s">
        <v>460</v>
      </c>
      <c r="I76" s="305" t="s">
        <v>461</v>
      </c>
      <c r="R76" s="326"/>
      <c r="S76" s="326"/>
      <c r="T76" s="326"/>
      <c r="U76" s="326"/>
      <c r="V76" s="326"/>
      <c r="W76" s="326"/>
      <c r="X76" s="326"/>
      <c r="Y76" s="326"/>
      <c r="Z76" s="326"/>
      <c r="AA76" s="326"/>
      <c r="AB76" s="326"/>
      <c r="AC76" s="326"/>
      <c r="AD76" s="326"/>
      <c r="AE76" s="326"/>
      <c r="AF76" s="326"/>
    </row>
    <row r="77" spans="1:32" x14ac:dyDescent="0.25">
      <c r="B77" t="s">
        <v>536</v>
      </c>
      <c r="D77">
        <v>6</v>
      </c>
      <c r="E77">
        <v>6.5</v>
      </c>
      <c r="F77">
        <v>7</v>
      </c>
      <c r="G77">
        <v>7.5</v>
      </c>
      <c r="H77">
        <v>8</v>
      </c>
      <c r="I77">
        <v>8.5</v>
      </c>
      <c r="J77" t="s">
        <v>537</v>
      </c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x14ac:dyDescent="0.25">
      <c r="B78" t="s">
        <v>538</v>
      </c>
      <c r="D78" s="333">
        <v>4.166666666666667</v>
      </c>
      <c r="E78" s="333">
        <v>4.166666666666667</v>
      </c>
      <c r="F78" s="333">
        <v>4.166666666666667</v>
      </c>
      <c r="G78" s="333">
        <v>4.166666666666667</v>
      </c>
      <c r="H78" s="333">
        <v>4.166666666666667</v>
      </c>
      <c r="I78" s="333">
        <v>4.166666666666667</v>
      </c>
      <c r="J78" t="s">
        <v>539</v>
      </c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</row>
    <row r="79" spans="1:32" x14ac:dyDescent="0.25">
      <c r="B79" t="s">
        <v>579</v>
      </c>
      <c r="D79" s="333">
        <v>25</v>
      </c>
      <c r="E79" s="333">
        <v>27.083333333333336</v>
      </c>
      <c r="F79" s="333">
        <v>29.166666666666668</v>
      </c>
      <c r="G79" s="333">
        <v>31.250000000000004</v>
      </c>
      <c r="H79" s="333">
        <v>33.333333333333336</v>
      </c>
      <c r="I79" s="333">
        <v>35.416666666666671</v>
      </c>
      <c r="J79" t="s">
        <v>541</v>
      </c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</row>
    <row r="80" spans="1:32" x14ac:dyDescent="0.25">
      <c r="B80" t="s">
        <v>542</v>
      </c>
      <c r="D80">
        <v>1.2</v>
      </c>
      <c r="E80">
        <v>1.2</v>
      </c>
      <c r="F80">
        <v>1.2</v>
      </c>
      <c r="G80">
        <v>1.2</v>
      </c>
      <c r="H80">
        <v>1.2</v>
      </c>
      <c r="I80">
        <v>1.2</v>
      </c>
      <c r="J80" t="s">
        <v>543</v>
      </c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</row>
    <row r="81" spans="2:32" x14ac:dyDescent="0.25"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</row>
    <row r="82" spans="2:32" x14ac:dyDescent="0.25">
      <c r="B82" t="s">
        <v>544</v>
      </c>
      <c r="D82" s="333">
        <v>44</v>
      </c>
      <c r="E82" s="333">
        <v>42.46153846153846</v>
      </c>
      <c r="F82" s="333">
        <v>42</v>
      </c>
      <c r="G82" s="333">
        <v>41.6</v>
      </c>
      <c r="H82" s="333">
        <v>40.5</v>
      </c>
      <c r="I82" s="333">
        <v>40.941176470588232</v>
      </c>
      <c r="J82" t="s">
        <v>545</v>
      </c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</row>
    <row r="83" spans="2:32" x14ac:dyDescent="0.25"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</row>
    <row r="84" spans="2:32" x14ac:dyDescent="0.25"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</row>
    <row r="85" spans="2:32" x14ac:dyDescent="0.25"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</row>
    <row r="86" spans="2:32" x14ac:dyDescent="0.25"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</row>
    <row r="87" spans="2:32" x14ac:dyDescent="0.25"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</row>
    <row r="88" spans="2:32" x14ac:dyDescent="0.25"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</row>
    <row r="89" spans="2:32" x14ac:dyDescent="0.25"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</row>
    <row r="90" spans="2:32" x14ac:dyDescent="0.25"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</row>
    <row r="91" spans="2:32" x14ac:dyDescent="0.25"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</row>
    <row r="92" spans="2:32" x14ac:dyDescent="0.25"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</row>
    <row r="93" spans="2:32" x14ac:dyDescent="0.25"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</row>
    <row r="94" spans="2:32" x14ac:dyDescent="0.25"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</row>
    <row r="95" spans="2:32" x14ac:dyDescent="0.25"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</row>
    <row r="96" spans="2:32" x14ac:dyDescent="0.25"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</row>
    <row r="97" spans="18:32" x14ac:dyDescent="0.25"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</row>
    <row r="98" spans="18:32" x14ac:dyDescent="0.25"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</row>
    <row r="99" spans="18:32" x14ac:dyDescent="0.25"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</row>
    <row r="100" spans="18:32" x14ac:dyDescent="0.25"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</row>
    <row r="101" spans="18:32" x14ac:dyDescent="0.25"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</row>
    <row r="102" spans="18:32" x14ac:dyDescent="0.25"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</row>
    <row r="103" spans="18:32" x14ac:dyDescent="0.25"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</row>
    <row r="104" spans="18:32" x14ac:dyDescent="0.25"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</row>
    <row r="105" spans="18:32" x14ac:dyDescent="0.25"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</row>
    <row r="106" spans="18:32" x14ac:dyDescent="0.25"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</row>
    <row r="107" spans="18:32" s="55" customFormat="1" x14ac:dyDescent="0.25">
      <c r="R107" s="345"/>
      <c r="S107" s="345"/>
      <c r="T107" s="345"/>
      <c r="U107" s="345"/>
      <c r="V107" s="345"/>
      <c r="W107" s="345"/>
      <c r="X107" s="345"/>
      <c r="Y107" s="345"/>
      <c r="Z107" s="345"/>
      <c r="AA107" s="345"/>
      <c r="AB107" s="345"/>
      <c r="AC107" s="345"/>
      <c r="AD107" s="345"/>
      <c r="AE107" s="345"/>
      <c r="AF107" s="345"/>
    </row>
    <row r="108" spans="18:32" x14ac:dyDescent="0.25"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</row>
    <row r="109" spans="18:32" x14ac:dyDescent="0.25"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</row>
    <row r="110" spans="18:32" x14ac:dyDescent="0.25"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</row>
    <row r="111" spans="18:32" x14ac:dyDescent="0.25"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</row>
    <row r="112" spans="18:32" x14ac:dyDescent="0.25"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</row>
    <row r="113" spans="18:32" x14ac:dyDescent="0.25"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</row>
    <row r="114" spans="18:32" x14ac:dyDescent="0.25"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</row>
    <row r="115" spans="18:32" x14ac:dyDescent="0.25"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</row>
    <row r="116" spans="18:32" x14ac:dyDescent="0.25"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</row>
    <row r="117" spans="18:32" x14ac:dyDescent="0.25"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</row>
    <row r="118" spans="18:32" x14ac:dyDescent="0.25"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</row>
    <row r="119" spans="18:32" x14ac:dyDescent="0.25"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</row>
    <row r="120" spans="18:32" x14ac:dyDescent="0.25"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</row>
    <row r="121" spans="18:32" x14ac:dyDescent="0.25"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</row>
    <row r="122" spans="18:32" x14ac:dyDescent="0.25"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</row>
    <row r="123" spans="18:32" x14ac:dyDescent="0.25"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</row>
    <row r="124" spans="18:32" x14ac:dyDescent="0.25"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</row>
    <row r="125" spans="18:32" x14ac:dyDescent="0.25"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</row>
    <row r="126" spans="18:32" x14ac:dyDescent="0.25"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</row>
    <row r="127" spans="18:32" x14ac:dyDescent="0.25"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</row>
    <row r="128" spans="18:32" x14ac:dyDescent="0.25"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</row>
    <row r="129" spans="18:32" x14ac:dyDescent="0.25"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</row>
    <row r="130" spans="18:32" x14ac:dyDescent="0.25"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</row>
    <row r="131" spans="18:32" x14ac:dyDescent="0.25"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</row>
    <row r="132" spans="18:32" x14ac:dyDescent="0.25"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</row>
    <row r="133" spans="18:32" x14ac:dyDescent="0.25"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</row>
    <row r="134" spans="18:32" x14ac:dyDescent="0.25"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</row>
    <row r="135" spans="18:32" x14ac:dyDescent="0.25"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</row>
    <row r="136" spans="18:32" x14ac:dyDescent="0.25"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</row>
    <row r="137" spans="18:32" x14ac:dyDescent="0.25"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</row>
    <row r="138" spans="18:32" x14ac:dyDescent="0.25"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</row>
    <row r="139" spans="18:32" x14ac:dyDescent="0.25"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</row>
    <row r="140" spans="18:32" x14ac:dyDescent="0.25"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</row>
    <row r="141" spans="18:32" x14ac:dyDescent="0.25"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</row>
    <row r="142" spans="18:32" x14ac:dyDescent="0.25"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</row>
    <row r="143" spans="18:32" x14ac:dyDescent="0.25"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</row>
    <row r="144" spans="18:32" x14ac:dyDescent="0.25"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</row>
    <row r="145" spans="18:32" x14ac:dyDescent="0.25"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</row>
    <row r="146" spans="18:32" x14ac:dyDescent="0.25"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</row>
    <row r="147" spans="18:32" x14ac:dyDescent="0.25"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</row>
    <row r="148" spans="18:32" x14ac:dyDescent="0.25"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</row>
    <row r="149" spans="18:32" x14ac:dyDescent="0.25"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</row>
    <row r="150" spans="18:32" x14ac:dyDescent="0.25"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</row>
    <row r="151" spans="18:32" x14ac:dyDescent="0.25"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</row>
    <row r="152" spans="18:32" x14ac:dyDescent="0.25"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</row>
    <row r="153" spans="18:32" x14ac:dyDescent="0.25"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</row>
    <row r="154" spans="18:32" x14ac:dyDescent="0.25"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</row>
    <row r="155" spans="18:32" x14ac:dyDescent="0.25"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</row>
    <row r="156" spans="18:32" x14ac:dyDescent="0.25"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</row>
    <row r="157" spans="18:32" x14ac:dyDescent="0.25"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</row>
    <row r="158" spans="18:32" x14ac:dyDescent="0.25"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</row>
    <row r="159" spans="18:32" x14ac:dyDescent="0.25"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</row>
    <row r="160" spans="18:32" x14ac:dyDescent="0.25"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</row>
    <row r="161" spans="18:32" x14ac:dyDescent="0.25"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</row>
    <row r="162" spans="18:32" x14ac:dyDescent="0.25"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</row>
    <row r="163" spans="18:32" x14ac:dyDescent="0.25"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</row>
    <row r="164" spans="18:32" x14ac:dyDescent="0.25"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</row>
    <row r="165" spans="18:32" x14ac:dyDescent="0.25"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</row>
    <row r="166" spans="18:32" x14ac:dyDescent="0.25"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</row>
    <row r="167" spans="18:32" x14ac:dyDescent="0.25"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</row>
    <row r="168" spans="18:32" x14ac:dyDescent="0.25"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Y36"/>
  <sheetViews>
    <sheetView zoomScale="70" zoomScaleNormal="70" workbookViewId="0"/>
  </sheetViews>
  <sheetFormatPr defaultColWidth="9.140625" defaultRowHeight="15" x14ac:dyDescent="0.25"/>
  <cols>
    <col min="1" max="16384" width="9.140625" style="281"/>
  </cols>
  <sheetData>
    <row r="36" spans="25:25" x14ac:dyDescent="0.25">
      <c r="Y36" s="281" t="s">
        <v>308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Z36"/>
  <sheetViews>
    <sheetView zoomScale="70" zoomScaleNormal="70" workbookViewId="0"/>
  </sheetViews>
  <sheetFormatPr defaultColWidth="9.140625" defaultRowHeight="15" x14ac:dyDescent="0.25"/>
  <cols>
    <col min="1" max="6" width="9.140625" style="281"/>
    <col min="7" max="7" width="6.42578125" style="281" customWidth="1"/>
    <col min="8" max="16384" width="9.140625" style="281"/>
  </cols>
  <sheetData>
    <row r="36" spans="26:26" x14ac:dyDescent="0.25">
      <c r="Z36" s="281" t="s">
        <v>308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Z36"/>
  <sheetViews>
    <sheetView zoomScale="70" zoomScaleNormal="70" workbookViewId="0"/>
  </sheetViews>
  <sheetFormatPr defaultColWidth="9.140625" defaultRowHeight="15" x14ac:dyDescent="0.25"/>
  <cols>
    <col min="1" max="5" width="9.140625" style="281"/>
    <col min="6" max="6" width="6.42578125" style="281" customWidth="1"/>
    <col min="7" max="7" width="4.42578125" style="281" customWidth="1"/>
    <col min="8" max="16384" width="9.140625" style="281"/>
  </cols>
  <sheetData>
    <row r="36" spans="26:26" x14ac:dyDescent="0.25">
      <c r="Z36" s="281" t="s">
        <v>308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Z36"/>
  <sheetViews>
    <sheetView zoomScale="70" zoomScaleNormal="70" workbookViewId="0"/>
  </sheetViews>
  <sheetFormatPr defaultColWidth="9.140625" defaultRowHeight="15" x14ac:dyDescent="0.25"/>
  <cols>
    <col min="1" max="5" width="9.140625" style="281"/>
    <col min="6" max="6" width="6.42578125" style="281" customWidth="1"/>
    <col min="7" max="7" width="4.42578125" style="281" customWidth="1"/>
    <col min="8" max="16384" width="9.140625" style="281"/>
  </cols>
  <sheetData>
    <row r="36" spans="26:26" x14ac:dyDescent="0.25">
      <c r="Z36" s="281" t="s">
        <v>308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Outcomes Master (2)</vt:lpstr>
      <vt:lpstr>Outcomes Master</vt:lpstr>
      <vt:lpstr>SalesPerson Economics</vt:lpstr>
      <vt:lpstr>Outcomes</vt:lpstr>
      <vt:lpstr>Implementation Current Current</vt:lpstr>
      <vt:lpstr>Gap Analysis</vt:lpstr>
      <vt:lpstr>Implementation Modified Modifie</vt:lpstr>
      <vt:lpstr>Implementation Modified Current</vt:lpstr>
      <vt:lpstr>Implementation Current Modified</vt:lpstr>
      <vt:lpstr>Step 15</vt:lpstr>
      <vt:lpstr>Step 14</vt:lpstr>
      <vt:lpstr>Step 13</vt:lpstr>
      <vt:lpstr>Step 12</vt:lpstr>
      <vt:lpstr>Step 11</vt:lpstr>
      <vt:lpstr>Step 10</vt:lpstr>
      <vt:lpstr>Step 9</vt:lpstr>
      <vt:lpstr>Step 8</vt:lpstr>
      <vt:lpstr>Step 7</vt:lpstr>
      <vt:lpstr>Step 6</vt:lpstr>
      <vt:lpstr>Step 5</vt:lpstr>
      <vt:lpstr>Step 4 a</vt:lpstr>
      <vt:lpstr>Step MC</vt:lpstr>
      <vt:lpstr>Step CM</vt:lpstr>
      <vt:lpstr>Step MM</vt:lpstr>
      <vt:lpstr>Step CC</vt:lpstr>
      <vt:lpstr>Risks</vt:lpstr>
      <vt:lpstr>Business Dev. Strategy</vt:lpstr>
      <vt:lpstr>Master Business Mode</vt:lpstr>
      <vt:lpstr>Strategic Thrust</vt:lpstr>
      <vt:lpstr>Consolidated Outcomes</vt:lpstr>
      <vt:lpstr>Outcome Current Modified</vt:lpstr>
      <vt:lpstr>Outcome Modified Current</vt:lpstr>
      <vt:lpstr>Outcome Current Current</vt:lpstr>
      <vt:lpstr>Outcome Modified Modified</vt:lpstr>
      <vt:lpstr>Series A Targets</vt:lpstr>
      <vt:lpstr>First Page</vt:lpstr>
      <vt:lpstr> Modified Modified</vt:lpstr>
      <vt:lpstr> Modified Current</vt:lpstr>
      <vt:lpstr>Current Modified</vt:lpstr>
      <vt:lpstr>Current Current</vt:lpstr>
      <vt:lpstr>Purpose</vt:lpstr>
      <vt:lpstr>Content</vt:lpstr>
      <vt:lpstr>Implementation</vt:lpstr>
      <vt:lpstr>Congruity of Thought</vt:lpstr>
      <vt:lpstr>Summary</vt:lpstr>
      <vt:lpstr>Valuations &gt;&gt;&gt;&gt;</vt:lpstr>
      <vt:lpstr>Pre-Revenue</vt:lpstr>
      <vt:lpstr>SaaS (Near-Term Forecast)</vt:lpstr>
      <vt:lpstr>Exit Approach</vt:lpstr>
      <vt:lpstr>Exit Approach Details &gt;&gt;&gt;</vt:lpstr>
      <vt:lpstr>Proforma</vt:lpstr>
      <vt:lpstr>Assumptions</vt:lpstr>
      <vt:lpstr>Monthly</vt:lpstr>
      <vt:lpstr>Sheet1</vt:lpstr>
      <vt:lpstr>Sheet2</vt:lpstr>
      <vt:lpstr>Sheet3</vt:lpstr>
      <vt:lpstr>Sheet4</vt:lpstr>
      <vt:lpstr>Sheet5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Miles Dunning</dc:creator>
  <cp:lastModifiedBy>Derek Podobas</cp:lastModifiedBy>
  <cp:lastPrinted>2021-10-03T04:27:44Z</cp:lastPrinted>
  <dcterms:created xsi:type="dcterms:W3CDTF">2021-03-24T16:20:00Z</dcterms:created>
  <dcterms:modified xsi:type="dcterms:W3CDTF">2021-12-01T20:10:08Z</dcterms:modified>
</cp:coreProperties>
</file>